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2225" windowHeight="5055"/>
  </bookViews>
  <sheets>
    <sheet name="2013" sheetId="2" r:id="rId1"/>
  </sheets>
  <definedNames>
    <definedName name="_xlnm.Print_Area" localSheetId="0">'2013'!$B$3:$T$29</definedName>
  </definedNames>
  <calcPr calcId="145621" refMode="R1C1"/>
</workbook>
</file>

<file path=xl/calcChain.xml><?xml version="1.0" encoding="utf-8"?>
<calcChain xmlns="http://schemas.openxmlformats.org/spreadsheetml/2006/main">
  <c r="K19" i="2" l="1"/>
  <c r="P20" i="2" l="1"/>
  <c r="O20" i="2"/>
  <c r="L20" i="2"/>
  <c r="I20" i="2"/>
  <c r="E19" i="2"/>
  <c r="D19" i="2"/>
  <c r="F19" i="2" s="1"/>
  <c r="Q19" i="2" l="1"/>
  <c r="G19" i="2"/>
  <c r="R19" i="2" s="1"/>
  <c r="S19" i="2" s="1"/>
  <c r="H19" i="2"/>
  <c r="M18" i="2"/>
  <c r="E18" i="2" l="1"/>
  <c r="D18" i="2"/>
  <c r="F18" i="2" l="1"/>
  <c r="Q18" i="2" s="1"/>
  <c r="M17" i="2"/>
  <c r="G18" i="2" l="1"/>
  <c r="H18" i="2"/>
  <c r="E17" i="2"/>
  <c r="D17" i="2"/>
  <c r="K16" i="2"/>
  <c r="K15" i="2"/>
  <c r="D16" i="2"/>
  <c r="E16" i="2"/>
  <c r="M16" i="2"/>
  <c r="D8" i="2"/>
  <c r="E8" i="2"/>
  <c r="D9" i="2"/>
  <c r="E9" i="2"/>
  <c r="D10" i="2"/>
  <c r="E10" i="2"/>
  <c r="D11" i="2"/>
  <c r="E11" i="2"/>
  <c r="D12" i="2"/>
  <c r="E12" i="2"/>
  <c r="D13" i="2"/>
  <c r="E13" i="2"/>
  <c r="D14" i="2"/>
  <c r="E14" i="2"/>
  <c r="F14" i="2"/>
  <c r="H14" i="2" s="1"/>
  <c r="D15" i="2"/>
  <c r="E15" i="2"/>
  <c r="F15" i="2" s="1"/>
  <c r="M8" i="2"/>
  <c r="M10" i="2"/>
  <c r="K11" i="2"/>
  <c r="M11" i="2"/>
  <c r="M12" i="2"/>
  <c r="M13" i="2"/>
  <c r="K14" i="2"/>
  <c r="M14" i="2"/>
  <c r="M15" i="2"/>
  <c r="T20" i="2"/>
  <c r="T21" i="2"/>
  <c r="D20" i="2" l="1"/>
  <c r="K20" i="2"/>
  <c r="M20" i="2"/>
  <c r="E20" i="2"/>
  <c r="R18" i="2"/>
  <c r="S18" i="2" s="1"/>
  <c r="F10" i="2"/>
  <c r="G10" i="2" s="1"/>
  <c r="F8" i="2"/>
  <c r="Q14" i="2"/>
  <c r="F12" i="2"/>
  <c r="G12" i="2" s="1"/>
  <c r="F11" i="2"/>
  <c r="Q11" i="2" s="1"/>
  <c r="H12" i="2"/>
  <c r="G14" i="2"/>
  <c r="Q10" i="2"/>
  <c r="H10" i="2"/>
  <c r="F13" i="2"/>
  <c r="Q13" i="2" s="1"/>
  <c r="F16" i="2"/>
  <c r="G16" i="2" s="1"/>
  <c r="F17" i="2"/>
  <c r="H17" i="2" s="1"/>
  <c r="G13" i="2"/>
  <c r="H16" i="2"/>
  <c r="Q17" i="2"/>
  <c r="G15" i="2"/>
  <c r="H15" i="2"/>
  <c r="Q15" i="2"/>
  <c r="G11" i="2"/>
  <c r="H11" i="2"/>
  <c r="Q12" i="2"/>
  <c r="Q8" i="2"/>
  <c r="H8" i="2"/>
  <c r="F9" i="2"/>
  <c r="Q16" i="2" l="1"/>
  <c r="R10" i="2"/>
  <c r="S10" i="2" s="1"/>
  <c r="F20" i="2"/>
  <c r="G17" i="2"/>
  <c r="H13" i="2"/>
  <c r="G8" i="2"/>
  <c r="R12" i="2"/>
  <c r="S12" i="2" s="1"/>
  <c r="R14" i="2"/>
  <c r="S14" i="2" s="1"/>
  <c r="R13" i="2"/>
  <c r="S13" i="2" s="1"/>
  <c r="R8" i="2"/>
  <c r="R11" i="2"/>
  <c r="S11" i="2" s="1"/>
  <c r="R15" i="2"/>
  <c r="S15" i="2" s="1"/>
  <c r="R16" i="2"/>
  <c r="S16" i="2" s="1"/>
  <c r="H9" i="2"/>
  <c r="H20" i="2" s="1"/>
  <c r="G9" i="2"/>
  <c r="Q9" i="2"/>
  <c r="Q20" i="2" s="1"/>
  <c r="R17" i="2"/>
  <c r="S17" i="2" s="1"/>
  <c r="G20" i="2" l="1"/>
  <c r="R9" i="2"/>
  <c r="S9" i="2" s="1"/>
  <c r="S8" i="2"/>
  <c r="R20" i="2" l="1"/>
  <c r="S20" i="2" s="1"/>
</calcChain>
</file>

<file path=xl/comments1.xml><?xml version="1.0" encoding="utf-8"?>
<comments xmlns="http://schemas.openxmlformats.org/spreadsheetml/2006/main">
  <authors>
    <author>user1</author>
    <author>User</author>
  </authors>
  <commentList>
    <comment ref="M8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80 руб. - замок навесной</t>
        </r>
      </text>
    </comment>
    <comment ref="M15" authorId="0">
      <text>
        <r>
          <rPr>
            <b/>
            <sz val="8"/>
            <color indexed="81"/>
            <rFont val="Tahoma"/>
            <family val="2"/>
            <charset val="204"/>
          </rPr>
          <t>user1:</t>
        </r>
        <r>
          <rPr>
            <sz val="8"/>
            <color indexed="81"/>
            <rFont val="Tahoma"/>
            <family val="2"/>
            <charset val="204"/>
          </rPr>
          <t xml:space="preserve">
21500-поверка, калибровка теплосчетчика</t>
        </r>
      </text>
    </comment>
    <comment ref="K1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ноябрь</t>
        </r>
      </text>
    </comment>
    <comment ref="M17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5607,82-штраф
3400-автовышка 2 часа</t>
        </r>
      </text>
    </comment>
    <comment ref="M18" authorId="1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2355-дезинсекция</t>
        </r>
      </text>
    </comment>
  </commentList>
</comments>
</file>

<file path=xl/sharedStrings.xml><?xml version="1.0" encoding="utf-8"?>
<sst xmlns="http://schemas.openxmlformats.org/spreadsheetml/2006/main" count="155" uniqueCount="88">
  <si>
    <t xml:space="preserve">Остаток </t>
  </si>
  <si>
    <t xml:space="preserve">Поступило </t>
  </si>
  <si>
    <t xml:space="preserve">Оплата </t>
  </si>
  <si>
    <t>ЕРКЦ</t>
  </si>
  <si>
    <t>Налог</t>
  </si>
  <si>
    <t>Уборка</t>
  </si>
  <si>
    <t>Ремонт</t>
  </si>
  <si>
    <t xml:space="preserve">сметы </t>
  </si>
  <si>
    <t>Электро-</t>
  </si>
  <si>
    <t>энергия</t>
  </si>
  <si>
    <t>тер.</t>
  </si>
  <si>
    <t>на конец</t>
  </si>
  <si>
    <t>Расходы</t>
  </si>
  <si>
    <t>Содержание</t>
  </si>
  <si>
    <t>договор ав.</t>
  </si>
  <si>
    <t>Разное</t>
  </si>
  <si>
    <t>февраль</t>
  </si>
  <si>
    <t>март</t>
  </si>
  <si>
    <t>апрель</t>
  </si>
  <si>
    <t xml:space="preserve">эксплуатац. </t>
  </si>
  <si>
    <t>содержание</t>
  </si>
  <si>
    <t>ремонт</t>
  </si>
  <si>
    <t>итого</t>
  </si>
  <si>
    <t>май</t>
  </si>
  <si>
    <t>я</t>
  </si>
  <si>
    <t>Генеральный директор ООО " Георгиевск-ЖЭУ"                                             Никишина И.М.</t>
  </si>
  <si>
    <t>водоканал</t>
  </si>
  <si>
    <t>теплосеть</t>
  </si>
  <si>
    <t>ед. изм.</t>
  </si>
  <si>
    <t>кол-во</t>
  </si>
  <si>
    <t>Наименование работ</t>
  </si>
  <si>
    <t>ИТОГО</t>
  </si>
  <si>
    <t>Месяц</t>
  </si>
  <si>
    <t>январь</t>
  </si>
  <si>
    <t>Кап.рем.</t>
  </si>
  <si>
    <t>июль</t>
  </si>
  <si>
    <t>август</t>
  </si>
  <si>
    <t>100м</t>
  </si>
  <si>
    <t>100м тр-да</t>
  </si>
  <si>
    <t>Разборка трубопроводов из чугунных канализационных труб диаметром: 100мм</t>
  </si>
  <si>
    <t>Выкашивание газонов: газонокосилкой</t>
  </si>
  <si>
    <t>100шт</t>
  </si>
  <si>
    <t>октябрь</t>
  </si>
  <si>
    <t>ноябрь</t>
  </si>
  <si>
    <t>декабрь</t>
  </si>
  <si>
    <t>тыс. руб.</t>
  </si>
  <si>
    <t>подвал</t>
  </si>
  <si>
    <t>Установка блоков в наружных и внутренних дверных проемах: в каменных стенах, площадью  проема до 3 м2</t>
  </si>
  <si>
    <t>Перечень выполненных работ по сметам за 2013 год по дому Бойко 108</t>
  </si>
  <si>
    <t>Информация о доходах и расходах за 2013 год по дому Бойко 108</t>
  </si>
  <si>
    <t>100м2 пр-в</t>
  </si>
  <si>
    <t>Обивка дверей оцинкованной кровельной сталью: по дереву с одной стороны</t>
  </si>
  <si>
    <t>Ремонт групповых щитков на лестничной клетке без ремонта автоматов</t>
  </si>
  <si>
    <t>кв.10 и 6 х/в</t>
  </si>
  <si>
    <t>Разборка трубопроводов из водогазопроводных труб диаметром: до 32мм</t>
  </si>
  <si>
    <t>Смена внутренних трубопроводов из стальных труб диаметром: до 15 мм</t>
  </si>
  <si>
    <t xml:space="preserve">Прокладка трубопроводов водоснабжения из напорныхполиэтиленовых труб низкого давления среднего типа наружным диаметром: 32мм  </t>
  </si>
  <si>
    <t>июнь</t>
  </si>
  <si>
    <t>2 вызова</t>
  </si>
  <si>
    <t>Очистка канализационной сети: внутренней</t>
  </si>
  <si>
    <t>кв.40,36</t>
  </si>
  <si>
    <t>Демонтаж: унитазов и писсуаров</t>
  </si>
  <si>
    <t>100 пр-в</t>
  </si>
  <si>
    <t>Монтаж: унитазов и писсуаров</t>
  </si>
  <si>
    <t>Прокладка трубопроводов канализации из полиэтиленовых труб высокой плотности диаметром: 110 мм</t>
  </si>
  <si>
    <t>Пробивка отверстий в кирпичных стенах для водогазопроводных труб вручную при тощине стен: в 1,5 кирпича</t>
  </si>
  <si>
    <t>100отв.</t>
  </si>
  <si>
    <t>80 рублей</t>
  </si>
  <si>
    <t>замок навесной</t>
  </si>
  <si>
    <t>21500 рублей поверка, калибровкка теплосчетчика</t>
  </si>
  <si>
    <t>сентябрь</t>
  </si>
  <si>
    <t>Прокладка трубопроводов отопления и газоснабжения из стальных бесшовных труб диаметром: 80мм</t>
  </si>
  <si>
    <t>Установка вентилей, задвижек, затворов, клапанов обратных, кранов проходных на трубопроводах из стальных руб диаметром: до 100мм</t>
  </si>
  <si>
    <t>1шт</t>
  </si>
  <si>
    <t>кв.48</t>
  </si>
  <si>
    <t>кв.15</t>
  </si>
  <si>
    <t>Сварка отдельных участков трубопроводов с заготовкой труб в построечных условиях диаметром: до 32мм</t>
  </si>
  <si>
    <t>100стыков</t>
  </si>
  <si>
    <t xml:space="preserve">Смена: пробок радиаторов </t>
  </si>
  <si>
    <t>Гидравлическое испытание трубопроводов систем отопления, водопровода и горячего водоснабжения диаметром: до 100мм</t>
  </si>
  <si>
    <t>м2</t>
  </si>
  <si>
    <t>Смена сгонов у трубопроводов диаметром: до 20 мм</t>
  </si>
  <si>
    <t>100сгонов</t>
  </si>
  <si>
    <t>Смена пробок радиаторов</t>
  </si>
  <si>
    <t>Смена обделок из листовой стали, примыканий: к вытяжным трубам</t>
  </si>
  <si>
    <t>Смена прямых звеньев водосточных труб с люлек</t>
  </si>
  <si>
    <t>Смена: колен водосточных труб с люлек</t>
  </si>
  <si>
    <t>Смена: воронок водосточных труб с люлек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</si>
</sst>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"/>
  </numFmts>
  <fonts count="9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0" borderId="0" xfId="0" applyFont="1"/>
    <xf numFmtId="2" fontId="3" fillId="0" borderId="0" xfId="0" applyNumberFormat="1" applyFont="1"/>
    <xf numFmtId="2" fontId="0" fillId="0" borderId="2" xfId="0" applyNumberFormat="1" applyFont="1" applyBorder="1"/>
    <xf numFmtId="0" fontId="0" fillId="0" borderId="2" xfId="0" applyFont="1" applyBorder="1"/>
    <xf numFmtId="1" fontId="0" fillId="3" borderId="2" xfId="0" applyNumberFormat="1" applyFont="1" applyFill="1" applyBorder="1" applyAlignment="1">
      <alignment horizontal="left"/>
    </xf>
    <xf numFmtId="17" fontId="0" fillId="2" borderId="0" xfId="0" applyNumberFormat="1" applyFill="1" applyBorder="1" applyAlignment="1">
      <alignment horizontal="left"/>
    </xf>
    <xf numFmtId="17" fontId="0" fillId="3" borderId="2" xfId="0" applyNumberFormat="1" applyFill="1" applyBorder="1" applyAlignment="1">
      <alignment horizontal="left"/>
    </xf>
    <xf numFmtId="2" fontId="0" fillId="0" borderId="2" xfId="0" applyNumberFormat="1" applyFont="1" applyFill="1" applyBorder="1"/>
    <xf numFmtId="2" fontId="0" fillId="0" borderId="2" xfId="0" applyNumberFormat="1" applyFont="1" applyBorder="1" applyAlignment="1"/>
    <xf numFmtId="0" fontId="0" fillId="0" borderId="2" xfId="0" applyBorder="1"/>
    <xf numFmtId="2" fontId="2" fillId="0" borderId="2" xfId="0" applyNumberFormat="1" applyFont="1" applyBorder="1"/>
    <xf numFmtId="0" fontId="1" fillId="0" borderId="2" xfId="0" applyFont="1" applyBorder="1"/>
    <xf numFmtId="2" fontId="0" fillId="0" borderId="2" xfId="0" applyNumberFormat="1" applyBorder="1"/>
    <xf numFmtId="0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164" fontId="0" fillId="4" borderId="2" xfId="0" applyNumberFormat="1" applyFont="1" applyFill="1" applyBorder="1"/>
    <xf numFmtId="164" fontId="0" fillId="5" borderId="2" xfId="0" applyNumberFormat="1" applyFont="1" applyFill="1" applyBorder="1"/>
    <xf numFmtId="164" fontId="0" fillId="5" borderId="2" xfId="0" applyNumberFormat="1" applyFont="1" applyFill="1" applyBorder="1" applyAlignment="1"/>
    <xf numFmtId="164" fontId="2" fillId="4" borderId="2" xfId="0" applyNumberFormat="1" applyFont="1" applyFill="1" applyBorder="1"/>
    <xf numFmtId="4" fontId="0" fillId="6" borderId="2" xfId="0" applyNumberFormat="1" applyFont="1" applyFill="1" applyBorder="1"/>
    <xf numFmtId="2" fontId="4" fillId="0" borderId="0" xfId="0" applyNumberFormat="1" applyFont="1" applyFill="1" applyAlignment="1"/>
    <xf numFmtId="0" fontId="0" fillId="0" borderId="0" xfId="0" applyBorder="1"/>
    <xf numFmtId="4" fontId="0" fillId="3" borderId="1" xfId="0" applyNumberFormat="1" applyFont="1" applyFill="1" applyBorder="1"/>
    <xf numFmtId="4" fontId="2" fillId="7" borderId="3" xfId="0" applyNumberFormat="1" applyFont="1" applyFill="1" applyBorder="1"/>
    <xf numFmtId="0" fontId="0" fillId="7" borderId="4" xfId="0" applyFill="1" applyBorder="1"/>
    <xf numFmtId="2" fontId="4" fillId="0" borderId="2" xfId="0" applyNumberFormat="1" applyFont="1" applyBorder="1"/>
    <xf numFmtId="0" fontId="4" fillId="0" borderId="2" xfId="0" applyFont="1" applyBorder="1"/>
    <xf numFmtId="0" fontId="0" fillId="7" borderId="2" xfId="0" applyFill="1" applyBorder="1"/>
    <xf numFmtId="164" fontId="0" fillId="7" borderId="2" xfId="0" applyNumberFormat="1" applyFill="1" applyBorder="1"/>
    <xf numFmtId="4" fontId="0" fillId="7" borderId="2" xfId="0" applyNumberFormat="1" applyFill="1" applyBorder="1"/>
    <xf numFmtId="4" fontId="4" fillId="8" borderId="2" xfId="0" applyNumberFormat="1" applyFont="1" applyFill="1" applyBorder="1"/>
    <xf numFmtId="0" fontId="4" fillId="2" borderId="0" xfId="0" applyFont="1" applyFill="1"/>
    <xf numFmtId="164" fontId="0" fillId="5" borderId="2" xfId="0" applyNumberFormat="1" applyFill="1" applyBorder="1"/>
    <xf numFmtId="0" fontId="4" fillId="10" borderId="2" xfId="0" applyFont="1" applyFill="1" applyBorder="1"/>
    <xf numFmtId="0" fontId="4" fillId="8" borderId="2" xfId="0" applyFont="1" applyFill="1" applyBorder="1"/>
    <xf numFmtId="165" fontId="4" fillId="11" borderId="2" xfId="0" applyNumberFormat="1" applyFont="1" applyFill="1" applyBorder="1"/>
    <xf numFmtId="165" fontId="4" fillId="9" borderId="2" xfId="0" applyNumberFormat="1" applyFont="1" applyFill="1" applyBorder="1"/>
    <xf numFmtId="165" fontId="4" fillId="13" borderId="2" xfId="0" applyNumberFormat="1" applyFont="1" applyFill="1" applyBorder="1"/>
    <xf numFmtId="165" fontId="4" fillId="14" borderId="2" xfId="0" applyNumberFormat="1" applyFont="1" applyFill="1" applyBorder="1"/>
    <xf numFmtId="165" fontId="4" fillId="15" borderId="2" xfId="0" applyNumberFormat="1" applyFont="1" applyFill="1" applyBorder="1"/>
    <xf numFmtId="2" fontId="0" fillId="2" borderId="2" xfId="0" applyNumberFormat="1" applyFill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1" fillId="0" borderId="6" xfId="0" applyNumberFormat="1" applyFont="1" applyBorder="1" applyAlignment="1">
      <alignment horizontal="left"/>
    </xf>
    <xf numFmtId="2" fontId="1" fillId="0" borderId="5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left" wrapText="1"/>
    </xf>
    <xf numFmtId="2" fontId="1" fillId="0" borderId="6" xfId="0" applyNumberFormat="1" applyFont="1" applyBorder="1" applyAlignment="1">
      <alignment horizontal="left" wrapText="1"/>
    </xf>
    <xf numFmtId="2" fontId="1" fillId="0" borderId="5" xfId="0" applyNumberFormat="1" applyFont="1" applyBorder="1" applyAlignment="1">
      <alignment horizontal="left" wrapText="1"/>
    </xf>
    <xf numFmtId="2" fontId="4" fillId="5" borderId="0" xfId="0" applyNumberFormat="1" applyFont="1" applyFill="1" applyAlignment="1">
      <alignment horizontal="center"/>
    </xf>
    <xf numFmtId="2" fontId="0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4" fillId="12" borderId="0" xfId="0" applyNumberFormat="1" applyFont="1" applyFill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left" wrapText="1"/>
    </xf>
    <xf numFmtId="2" fontId="0" fillId="0" borderId="6" xfId="0" applyNumberFormat="1" applyFont="1" applyBorder="1" applyAlignment="1">
      <alignment horizontal="left" wrapText="1"/>
    </xf>
    <xf numFmtId="2" fontId="0" fillId="0" borderId="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2:T77"/>
  <sheetViews>
    <sheetView tabSelected="1" workbookViewId="0">
      <selection activeCell="K17" sqref="K17"/>
    </sheetView>
  </sheetViews>
  <sheetFormatPr defaultRowHeight="12.75" x14ac:dyDescent="0.2"/>
  <cols>
    <col min="1" max="1" width="1.5703125" customWidth="1"/>
    <col min="2" max="2" width="1.140625" customWidth="1"/>
    <col min="3" max="3" width="4.28515625" customWidth="1"/>
    <col min="4" max="5" width="11.5703125" customWidth="1"/>
    <col min="6" max="6" width="10.5703125" customWidth="1"/>
    <col min="7" max="7" width="10.7109375" customWidth="1"/>
    <col min="8" max="8" width="10.85546875" customWidth="1"/>
    <col min="9" max="9" width="10.7109375" customWidth="1"/>
    <col min="10" max="10" width="9.140625" hidden="1" customWidth="1"/>
    <col min="11" max="11" width="11.7109375" customWidth="1"/>
    <col min="12" max="12" width="10.85546875" customWidth="1"/>
    <col min="13" max="13" width="10.5703125" customWidth="1"/>
    <col min="14" max="14" width="9.140625" hidden="1" customWidth="1"/>
    <col min="15" max="15" width="10" customWidth="1"/>
    <col min="16" max="16" width="9.5703125" customWidth="1"/>
    <col min="17" max="17" width="10.85546875" customWidth="1"/>
    <col min="18" max="18" width="12" customWidth="1"/>
    <col min="19" max="19" width="10.5703125" customWidth="1"/>
    <col min="21" max="21" width="10" customWidth="1"/>
  </cols>
  <sheetData>
    <row r="2" spans="1:20" x14ac:dyDescent="0.2">
      <c r="B2" s="3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20" x14ac:dyDescent="0.2">
      <c r="B3" s="3"/>
      <c r="C3" s="2"/>
      <c r="D3" s="1"/>
      <c r="E3" s="50" t="s">
        <v>49</v>
      </c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23"/>
    </row>
    <row r="4" spans="1:20" x14ac:dyDescent="0.2">
      <c r="B4" s="3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20" x14ac:dyDescent="0.2">
      <c r="B5" s="3"/>
      <c r="C5" s="2"/>
      <c r="D5" s="51" t="s">
        <v>1</v>
      </c>
      <c r="E5" s="51"/>
      <c r="F5" s="51"/>
      <c r="G5" s="5" t="s">
        <v>2</v>
      </c>
      <c r="H5" s="51" t="s">
        <v>4</v>
      </c>
      <c r="I5" s="5" t="s">
        <v>5</v>
      </c>
      <c r="J5" s="10" t="s">
        <v>8</v>
      </c>
      <c r="K5" s="11" t="s">
        <v>6</v>
      </c>
      <c r="L5" s="51" t="s">
        <v>13</v>
      </c>
      <c r="M5" s="51"/>
      <c r="N5" s="51"/>
      <c r="O5" s="51"/>
      <c r="P5" s="51"/>
      <c r="Q5" s="51"/>
      <c r="R5" s="51" t="s">
        <v>12</v>
      </c>
      <c r="S5" s="10" t="s">
        <v>0</v>
      </c>
      <c r="T5" s="10" t="s">
        <v>34</v>
      </c>
    </row>
    <row r="6" spans="1:20" ht="13.5" thickBot="1" x14ac:dyDescent="0.25">
      <c r="B6" s="3"/>
      <c r="C6" s="2"/>
      <c r="D6" s="5" t="s">
        <v>20</v>
      </c>
      <c r="E6" s="5" t="s">
        <v>21</v>
      </c>
      <c r="F6" s="5" t="s">
        <v>22</v>
      </c>
      <c r="G6" s="5" t="s">
        <v>3</v>
      </c>
      <c r="H6" s="51"/>
      <c r="I6" s="5" t="s">
        <v>10</v>
      </c>
      <c r="J6" s="5" t="s">
        <v>9</v>
      </c>
      <c r="K6" s="5" t="s">
        <v>7</v>
      </c>
      <c r="L6" s="5" t="s">
        <v>14</v>
      </c>
      <c r="M6" s="5" t="s">
        <v>15</v>
      </c>
      <c r="N6" s="13" t="s">
        <v>26</v>
      </c>
      <c r="O6" s="52" t="s">
        <v>27</v>
      </c>
      <c r="P6" s="52"/>
      <c r="Q6" s="5" t="s">
        <v>19</v>
      </c>
      <c r="R6" s="51"/>
      <c r="S6" s="6" t="s">
        <v>11</v>
      </c>
      <c r="T6" s="24"/>
    </row>
    <row r="7" spans="1:20" ht="13.5" thickBot="1" x14ac:dyDescent="0.25">
      <c r="B7" s="3"/>
      <c r="C7" s="2"/>
      <c r="D7" s="1"/>
      <c r="E7" s="15"/>
      <c r="F7" s="22">
        <v>5307.06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2"/>
      <c r="T7" s="27">
        <v>17198.560000000001</v>
      </c>
    </row>
    <row r="8" spans="1:20" x14ac:dyDescent="0.2">
      <c r="A8" s="8"/>
      <c r="B8" s="9" t="s">
        <v>24</v>
      </c>
      <c r="C8" s="7"/>
      <c r="D8" s="19">
        <f>10030.09+344</f>
        <v>10374.09</v>
      </c>
      <c r="E8" s="19">
        <f>4613.9+172</f>
        <v>4785.8999999999996</v>
      </c>
      <c r="F8" s="20">
        <f t="shared" ref="F8:F19" si="0">SUM(D8:E8)</f>
        <v>15159.99</v>
      </c>
      <c r="G8" s="18">
        <f t="shared" ref="G8:G19" si="1">SUM(F8*0.03)</f>
        <v>454.79969999999997</v>
      </c>
      <c r="H8" s="18">
        <f t="shared" ref="H8:H19" si="2">SUM(F8*0.06)</f>
        <v>909.59939999999995</v>
      </c>
      <c r="I8" s="18">
        <v>3511.6</v>
      </c>
      <c r="J8" s="18">
        <v>0</v>
      </c>
      <c r="K8" s="18">
        <v>5415</v>
      </c>
      <c r="L8" s="18">
        <v>2671.79</v>
      </c>
      <c r="M8" s="21">
        <f>1380+80</f>
        <v>1460</v>
      </c>
      <c r="N8" s="18">
        <v>0</v>
      </c>
      <c r="O8" s="21">
        <v>300</v>
      </c>
      <c r="P8" s="21">
        <v>1200</v>
      </c>
      <c r="Q8" s="18">
        <f t="shared" ref="Q8:Q19" si="3">SUM((F8*0.25))</f>
        <v>3789.9974999999999</v>
      </c>
      <c r="R8" s="18">
        <f t="shared" ref="R8:R19" si="4">SUM(G8:Q8)</f>
        <v>19712.786600000003</v>
      </c>
      <c r="S8" s="25">
        <f t="shared" ref="S8:S19" si="5">F8-R8</f>
        <v>-4552.7966000000033</v>
      </c>
      <c r="T8" s="26">
        <v>0</v>
      </c>
    </row>
    <row r="9" spans="1:20" x14ac:dyDescent="0.2">
      <c r="A9" s="8"/>
      <c r="B9" s="9" t="s">
        <v>16</v>
      </c>
      <c r="C9" s="7"/>
      <c r="D9" s="19">
        <f>16559.04+1220.8</f>
        <v>17779.84</v>
      </c>
      <c r="E9" s="19">
        <f>9534.78+610.4</f>
        <v>10145.18</v>
      </c>
      <c r="F9" s="20">
        <f t="shared" si="0"/>
        <v>27925.02</v>
      </c>
      <c r="G9" s="18">
        <f t="shared" si="1"/>
        <v>837.75059999999996</v>
      </c>
      <c r="H9" s="18">
        <f t="shared" si="2"/>
        <v>1675.5011999999999</v>
      </c>
      <c r="I9" s="18">
        <v>3511.6</v>
      </c>
      <c r="J9" s="18">
        <v>0</v>
      </c>
      <c r="K9" s="18">
        <v>0</v>
      </c>
      <c r="L9" s="18">
        <v>2671.79</v>
      </c>
      <c r="M9" s="21">
        <v>4140</v>
      </c>
      <c r="N9" s="18">
        <v>0</v>
      </c>
      <c r="O9" s="21">
        <v>300</v>
      </c>
      <c r="P9" s="21">
        <v>1200</v>
      </c>
      <c r="Q9" s="18">
        <f t="shared" si="3"/>
        <v>6981.2550000000001</v>
      </c>
      <c r="R9" s="18">
        <f t="shared" si="4"/>
        <v>21317.896800000002</v>
      </c>
      <c r="S9" s="25">
        <f t="shared" si="5"/>
        <v>6607.1231999999982</v>
      </c>
      <c r="T9" s="26">
        <v>682</v>
      </c>
    </row>
    <row r="10" spans="1:20" x14ac:dyDescent="0.2">
      <c r="A10" s="8"/>
      <c r="B10" s="9" t="s">
        <v>17</v>
      </c>
      <c r="C10" s="7"/>
      <c r="D10" s="19">
        <f>16238+508.5</f>
        <v>16746.5</v>
      </c>
      <c r="E10" s="19">
        <f>8896.8+282</f>
        <v>9178.7999999999993</v>
      </c>
      <c r="F10" s="20">
        <f t="shared" si="0"/>
        <v>25925.3</v>
      </c>
      <c r="G10" s="18">
        <f t="shared" si="1"/>
        <v>777.7589999999999</v>
      </c>
      <c r="H10" s="18">
        <f t="shared" si="2"/>
        <v>1555.5179999999998</v>
      </c>
      <c r="I10" s="18">
        <v>3511.6</v>
      </c>
      <c r="J10" s="18">
        <v>0</v>
      </c>
      <c r="K10" s="18">
        <v>0</v>
      </c>
      <c r="L10" s="18">
        <v>2671.79</v>
      </c>
      <c r="M10" s="21">
        <f>3000*1.38</f>
        <v>4140</v>
      </c>
      <c r="N10" s="18">
        <v>0</v>
      </c>
      <c r="O10" s="21">
        <v>300</v>
      </c>
      <c r="P10" s="21">
        <v>1200</v>
      </c>
      <c r="Q10" s="18">
        <f t="shared" si="3"/>
        <v>6481.3249999999998</v>
      </c>
      <c r="R10" s="18">
        <f t="shared" si="4"/>
        <v>20637.991999999998</v>
      </c>
      <c r="S10" s="25">
        <f t="shared" si="5"/>
        <v>5287.3080000000009</v>
      </c>
      <c r="T10" s="26">
        <v>0</v>
      </c>
    </row>
    <row r="11" spans="1:20" x14ac:dyDescent="0.2">
      <c r="A11" s="8"/>
      <c r="B11" s="9" t="s">
        <v>18</v>
      </c>
      <c r="C11" s="7"/>
      <c r="D11" s="35">
        <f>16543.81+16000+508.5</f>
        <v>33052.31</v>
      </c>
      <c r="E11" s="19">
        <f>9297.25+5000+282.5</f>
        <v>14579.75</v>
      </c>
      <c r="F11" s="20">
        <f t="shared" si="0"/>
        <v>47632.06</v>
      </c>
      <c r="G11" s="18">
        <f t="shared" si="1"/>
        <v>1428.9617999999998</v>
      </c>
      <c r="H11" s="18">
        <f t="shared" si="2"/>
        <v>2857.9235999999996</v>
      </c>
      <c r="I11" s="18">
        <v>3511.6</v>
      </c>
      <c r="J11" s="18">
        <v>0</v>
      </c>
      <c r="K11" s="18">
        <f>358+4085</f>
        <v>4443</v>
      </c>
      <c r="L11" s="18">
        <v>2671.79</v>
      </c>
      <c r="M11" s="21">
        <f>3000*1.38</f>
        <v>4140</v>
      </c>
      <c r="N11" s="18">
        <v>0</v>
      </c>
      <c r="O11" s="21">
        <v>300</v>
      </c>
      <c r="P11" s="21">
        <v>1200</v>
      </c>
      <c r="Q11" s="18">
        <f t="shared" si="3"/>
        <v>11908.014999999999</v>
      </c>
      <c r="R11" s="18">
        <f t="shared" si="4"/>
        <v>32461.290399999998</v>
      </c>
      <c r="S11" s="25">
        <f t="shared" si="5"/>
        <v>15170.7696</v>
      </c>
      <c r="T11" s="26">
        <v>0</v>
      </c>
    </row>
    <row r="12" spans="1:20" x14ac:dyDescent="0.2">
      <c r="A12" s="8"/>
      <c r="B12" s="9" t="s">
        <v>23</v>
      </c>
      <c r="C12" s="7"/>
      <c r="D12" s="35">
        <f>17924.43+750+508.5</f>
        <v>19182.93</v>
      </c>
      <c r="E12" s="19">
        <f>10259.45+250+282.5</f>
        <v>10791.95</v>
      </c>
      <c r="F12" s="20">
        <f t="shared" si="0"/>
        <v>29974.880000000001</v>
      </c>
      <c r="G12" s="18">
        <f t="shared" si="1"/>
        <v>899.24639999999999</v>
      </c>
      <c r="H12" s="18">
        <f t="shared" si="2"/>
        <v>1798.4928</v>
      </c>
      <c r="I12" s="18">
        <v>3511.6</v>
      </c>
      <c r="J12" s="18">
        <v>0</v>
      </c>
      <c r="K12" s="18">
        <v>0</v>
      </c>
      <c r="L12" s="18">
        <v>2671.79</v>
      </c>
      <c r="M12" s="21">
        <f>3000*1.38</f>
        <v>4140</v>
      </c>
      <c r="N12" s="18">
        <v>0</v>
      </c>
      <c r="O12" s="21">
        <v>0</v>
      </c>
      <c r="P12" s="21">
        <v>0</v>
      </c>
      <c r="Q12" s="18">
        <f t="shared" si="3"/>
        <v>7493.72</v>
      </c>
      <c r="R12" s="18">
        <f t="shared" si="4"/>
        <v>20514.849200000001</v>
      </c>
      <c r="S12" s="25">
        <f t="shared" si="5"/>
        <v>9460.0308000000005</v>
      </c>
      <c r="T12" s="26">
        <v>0</v>
      </c>
    </row>
    <row r="13" spans="1:20" x14ac:dyDescent="0.2">
      <c r="A13" s="8"/>
      <c r="B13" s="9" t="s">
        <v>57</v>
      </c>
      <c r="C13" s="7"/>
      <c r="D13" s="35">
        <f>18805.27+888.3</f>
        <v>19693.57</v>
      </c>
      <c r="E13" s="19">
        <f>10312.6+494</f>
        <v>10806.6</v>
      </c>
      <c r="F13" s="20">
        <f t="shared" si="0"/>
        <v>30500.17</v>
      </c>
      <c r="G13" s="18">
        <f t="shared" si="1"/>
        <v>915.00509999999997</v>
      </c>
      <c r="H13" s="18">
        <f t="shared" si="2"/>
        <v>1830.0101999999999</v>
      </c>
      <c r="I13" s="18">
        <v>3511.6</v>
      </c>
      <c r="J13" s="18">
        <v>0</v>
      </c>
      <c r="K13" s="18">
        <v>0</v>
      </c>
      <c r="L13" s="18">
        <v>2671.79</v>
      </c>
      <c r="M13" s="21">
        <f>3000*1.38</f>
        <v>4140</v>
      </c>
      <c r="N13" s="18">
        <v>0</v>
      </c>
      <c r="O13" s="21">
        <v>0</v>
      </c>
      <c r="P13" s="21">
        <v>0</v>
      </c>
      <c r="Q13" s="18">
        <f t="shared" si="3"/>
        <v>7625.0424999999996</v>
      </c>
      <c r="R13" s="18">
        <f t="shared" si="4"/>
        <v>20693.447799999998</v>
      </c>
      <c r="S13" s="25">
        <f t="shared" si="5"/>
        <v>9806.7222000000002</v>
      </c>
      <c r="T13" s="26">
        <v>0</v>
      </c>
    </row>
    <row r="14" spans="1:20" x14ac:dyDescent="0.2">
      <c r="A14" s="8"/>
      <c r="B14" s="9" t="s">
        <v>35</v>
      </c>
      <c r="C14" s="7"/>
      <c r="D14" s="35">
        <f>17776.5+1552.5</f>
        <v>19329</v>
      </c>
      <c r="E14" s="19">
        <f>11640.07+862.5</f>
        <v>12502.57</v>
      </c>
      <c r="F14" s="20">
        <f t="shared" si="0"/>
        <v>31831.57</v>
      </c>
      <c r="G14" s="18">
        <f t="shared" si="1"/>
        <v>954.94709999999998</v>
      </c>
      <c r="H14" s="18">
        <f t="shared" si="2"/>
        <v>1909.8942</v>
      </c>
      <c r="I14" s="18">
        <v>3511.6</v>
      </c>
      <c r="J14" s="18">
        <v>0</v>
      </c>
      <c r="K14" s="18">
        <f>1538+4046</f>
        <v>5584</v>
      </c>
      <c r="L14" s="18">
        <v>2671.79</v>
      </c>
      <c r="M14" s="21">
        <f>3000*1.38</f>
        <v>4140</v>
      </c>
      <c r="N14" s="18">
        <v>0</v>
      </c>
      <c r="O14" s="21">
        <v>0</v>
      </c>
      <c r="P14" s="21">
        <v>0</v>
      </c>
      <c r="Q14" s="18">
        <f t="shared" si="3"/>
        <v>7957.8924999999999</v>
      </c>
      <c r="R14" s="18">
        <f t="shared" si="4"/>
        <v>26730.123800000001</v>
      </c>
      <c r="S14" s="25">
        <f t="shared" si="5"/>
        <v>5101.4461999999985</v>
      </c>
      <c r="T14" s="26">
        <v>0</v>
      </c>
    </row>
    <row r="15" spans="1:20" x14ac:dyDescent="0.2">
      <c r="A15" s="8"/>
      <c r="B15" s="9" t="s">
        <v>36</v>
      </c>
      <c r="C15" s="7"/>
      <c r="D15" s="35">
        <f>18267.12+1498.8+659.7</f>
        <v>20425.62</v>
      </c>
      <c r="E15" s="19">
        <f>10837.4+501.2+366.5</f>
        <v>11705.1</v>
      </c>
      <c r="F15" s="20">
        <f t="shared" si="0"/>
        <v>32130.720000000001</v>
      </c>
      <c r="G15" s="18">
        <f t="shared" si="1"/>
        <v>963.92160000000001</v>
      </c>
      <c r="H15" s="18">
        <f t="shared" si="2"/>
        <v>1927.8432</v>
      </c>
      <c r="I15" s="18">
        <v>3511.6</v>
      </c>
      <c r="J15" s="18">
        <v>0</v>
      </c>
      <c r="K15" s="18">
        <f>3700+2845+969+12122+2974</f>
        <v>22610</v>
      </c>
      <c r="L15" s="18">
        <v>2671.79</v>
      </c>
      <c r="M15" s="21">
        <f>4140+21500</f>
        <v>25640</v>
      </c>
      <c r="N15" s="18">
        <v>0</v>
      </c>
      <c r="O15" s="21">
        <v>0</v>
      </c>
      <c r="P15" s="21">
        <v>0</v>
      </c>
      <c r="Q15" s="18">
        <f t="shared" si="3"/>
        <v>8032.68</v>
      </c>
      <c r="R15" s="18">
        <f t="shared" si="4"/>
        <v>65357.834800000004</v>
      </c>
      <c r="S15" s="25">
        <f t="shared" si="5"/>
        <v>-33227.114800000003</v>
      </c>
      <c r="T15" s="26">
        <v>0</v>
      </c>
    </row>
    <row r="16" spans="1:20" x14ac:dyDescent="0.2">
      <c r="A16" s="8"/>
      <c r="B16" s="9" t="s">
        <v>70</v>
      </c>
      <c r="C16" s="7"/>
      <c r="D16" s="35">
        <f>15906.69+387.9+387</f>
        <v>16681.59</v>
      </c>
      <c r="E16" s="19">
        <f>8772.5+612.1+424</f>
        <v>9808.6</v>
      </c>
      <c r="F16" s="20">
        <f t="shared" si="0"/>
        <v>26490.190000000002</v>
      </c>
      <c r="G16" s="18">
        <f t="shared" si="1"/>
        <v>794.70570000000009</v>
      </c>
      <c r="H16" s="18">
        <f t="shared" si="2"/>
        <v>1589.4114000000002</v>
      </c>
      <c r="I16" s="18">
        <v>3511.6</v>
      </c>
      <c r="J16" s="18"/>
      <c r="K16" s="18">
        <f>219+2761</f>
        <v>2980</v>
      </c>
      <c r="L16" s="18">
        <v>2671.79</v>
      </c>
      <c r="M16" s="21">
        <f>3000*1.38</f>
        <v>4140</v>
      </c>
      <c r="N16" s="18"/>
      <c r="O16" s="21">
        <v>0</v>
      </c>
      <c r="P16" s="21">
        <v>0</v>
      </c>
      <c r="Q16" s="18">
        <f t="shared" si="3"/>
        <v>6622.5475000000006</v>
      </c>
      <c r="R16" s="18">
        <f t="shared" si="4"/>
        <v>22310.054599999999</v>
      </c>
      <c r="S16" s="25">
        <f t="shared" si="5"/>
        <v>4180.1354000000028</v>
      </c>
      <c r="T16" s="26">
        <v>0</v>
      </c>
    </row>
    <row r="17" spans="1:20" x14ac:dyDescent="0.2">
      <c r="A17" s="8"/>
      <c r="B17" s="9" t="s">
        <v>42</v>
      </c>
      <c r="C17" s="7"/>
      <c r="D17" s="35">
        <f>24883.87+1775.8+377.1</f>
        <v>27036.769999999997</v>
      </c>
      <c r="E17" s="19">
        <f>11365+2224.2+209.5</f>
        <v>13798.7</v>
      </c>
      <c r="F17" s="20">
        <f t="shared" si="0"/>
        <v>40835.47</v>
      </c>
      <c r="G17" s="18">
        <f t="shared" si="1"/>
        <v>1225.0641000000001</v>
      </c>
      <c r="H17" s="18">
        <f t="shared" si="2"/>
        <v>2450.1282000000001</v>
      </c>
      <c r="I17" s="18">
        <v>3511.6</v>
      </c>
      <c r="J17" s="18"/>
      <c r="K17" s="18">
        <v>1403</v>
      </c>
      <c r="L17" s="18">
        <v>2671.79</v>
      </c>
      <c r="M17" s="21">
        <f>4140+5607.82+3400</f>
        <v>13147.82</v>
      </c>
      <c r="N17" s="18"/>
      <c r="O17" s="21">
        <v>300</v>
      </c>
      <c r="P17" s="21">
        <v>1200</v>
      </c>
      <c r="Q17" s="18">
        <f t="shared" si="3"/>
        <v>10208.8675</v>
      </c>
      <c r="R17" s="18">
        <f t="shared" si="4"/>
        <v>36118.269800000002</v>
      </c>
      <c r="S17" s="25">
        <f t="shared" si="5"/>
        <v>4717.2001999999993</v>
      </c>
      <c r="T17" s="26">
        <v>0</v>
      </c>
    </row>
    <row r="18" spans="1:20" x14ac:dyDescent="0.2">
      <c r="A18" s="8"/>
      <c r="B18" s="9" t="s">
        <v>43</v>
      </c>
      <c r="C18" s="7"/>
      <c r="D18" s="35">
        <f>18358.57+1771.3</f>
        <v>20129.87</v>
      </c>
      <c r="E18" s="19">
        <f>9953.1+428.5</f>
        <v>10381.6</v>
      </c>
      <c r="F18" s="20">
        <f t="shared" si="0"/>
        <v>30511.47</v>
      </c>
      <c r="G18" s="18">
        <f t="shared" si="1"/>
        <v>915.34410000000003</v>
      </c>
      <c r="H18" s="18">
        <f t="shared" si="2"/>
        <v>1830.6882000000001</v>
      </c>
      <c r="I18" s="18">
        <v>3511.6</v>
      </c>
      <c r="J18" s="18"/>
      <c r="K18" s="18">
        <v>73960</v>
      </c>
      <c r="L18" s="18">
        <v>2671.79</v>
      </c>
      <c r="M18" s="21">
        <f>4140+2355</f>
        <v>6495</v>
      </c>
      <c r="N18" s="18"/>
      <c r="O18" s="21">
        <v>300</v>
      </c>
      <c r="P18" s="21">
        <v>1200</v>
      </c>
      <c r="Q18" s="18">
        <f t="shared" si="3"/>
        <v>7627.8675000000003</v>
      </c>
      <c r="R18" s="18">
        <f t="shared" si="4"/>
        <v>98512.289799999999</v>
      </c>
      <c r="S18" s="25">
        <f t="shared" si="5"/>
        <v>-68000.819799999997</v>
      </c>
      <c r="T18" s="26">
        <v>0</v>
      </c>
    </row>
    <row r="19" spans="1:20" x14ac:dyDescent="0.2">
      <c r="A19" s="8"/>
      <c r="B19" s="9" t="s">
        <v>44</v>
      </c>
      <c r="C19" s="7"/>
      <c r="D19" s="35">
        <f>18857.66+1428.3+1756.9</f>
        <v>22042.86</v>
      </c>
      <c r="E19" s="19">
        <f>10683+792.5+920.5</f>
        <v>12396</v>
      </c>
      <c r="F19" s="20">
        <f t="shared" si="0"/>
        <v>34438.86</v>
      </c>
      <c r="G19" s="18">
        <f t="shared" si="1"/>
        <v>1033.1658</v>
      </c>
      <c r="H19" s="18">
        <f t="shared" si="2"/>
        <v>2066.3316</v>
      </c>
      <c r="I19" s="18">
        <v>3511.6</v>
      </c>
      <c r="J19" s="18"/>
      <c r="K19" s="18">
        <f>771</f>
        <v>771</v>
      </c>
      <c r="L19" s="18">
        <v>2671.79</v>
      </c>
      <c r="M19" s="21">
        <v>4140</v>
      </c>
      <c r="N19" s="18"/>
      <c r="O19" s="21">
        <v>300</v>
      </c>
      <c r="P19" s="21">
        <v>1200</v>
      </c>
      <c r="Q19" s="18">
        <f t="shared" si="3"/>
        <v>8609.7150000000001</v>
      </c>
      <c r="R19" s="18">
        <f t="shared" si="4"/>
        <v>24303.6024</v>
      </c>
      <c r="S19" s="25">
        <f t="shared" si="5"/>
        <v>10135.257600000001</v>
      </c>
      <c r="T19" s="26">
        <v>0</v>
      </c>
    </row>
    <row r="20" spans="1:20" x14ac:dyDescent="0.2">
      <c r="B20" s="30" t="s">
        <v>22</v>
      </c>
      <c r="C20" s="30"/>
      <c r="D20" s="31">
        <f>SUM(D8:D19)</f>
        <v>242474.94999999995</v>
      </c>
      <c r="E20" s="31">
        <f>SUM(E8:E19)</f>
        <v>130880.75000000001</v>
      </c>
      <c r="F20" s="32">
        <f>SUM(F7:F19)</f>
        <v>378662.75999999989</v>
      </c>
      <c r="G20" s="31">
        <f>SUM(G8:G19)</f>
        <v>11200.671000000002</v>
      </c>
      <c r="H20" s="31">
        <f>SUM(H8:H19)</f>
        <v>22401.342000000004</v>
      </c>
      <c r="I20" s="31">
        <f>SUM(I8:I19)</f>
        <v>42139.19999999999</v>
      </c>
      <c r="J20" s="31"/>
      <c r="K20" s="31">
        <f>SUM(K8:K19)</f>
        <v>117166</v>
      </c>
      <c r="L20" s="31">
        <f>SUM(L8:L19)</f>
        <v>32061.480000000007</v>
      </c>
      <c r="M20" s="31">
        <f>SUM(M8:M19)</f>
        <v>79862.820000000007</v>
      </c>
      <c r="N20" s="31"/>
      <c r="O20" s="31">
        <f>SUM(O8:O19)</f>
        <v>2100</v>
      </c>
      <c r="P20" s="31">
        <f>SUM(P8:P19)</f>
        <v>8400</v>
      </c>
      <c r="Q20" s="31">
        <f>SUM(Q8:Q19)</f>
        <v>93338.924999999988</v>
      </c>
      <c r="R20" s="31">
        <f>SUM(R8:R19)</f>
        <v>408670.43799999997</v>
      </c>
      <c r="S20" s="33">
        <f>F20-R20</f>
        <v>-30007.678000000073</v>
      </c>
      <c r="T20" s="12">
        <f>SUM(T7:T9)</f>
        <v>17880.560000000001</v>
      </c>
    </row>
    <row r="21" spans="1:20" x14ac:dyDescent="0.2">
      <c r="T21" s="34">
        <f>T20*0.91</f>
        <v>16271.309600000002</v>
      </c>
    </row>
    <row r="23" spans="1:20" x14ac:dyDescent="0.2">
      <c r="D23" t="s">
        <v>33</v>
      </c>
      <c r="E23" t="s">
        <v>67</v>
      </c>
      <c r="F23" t="s">
        <v>68</v>
      </c>
    </row>
    <row r="24" spans="1:20" x14ac:dyDescent="0.2">
      <c r="D24" t="s">
        <v>36</v>
      </c>
      <c r="E24" t="s">
        <v>69</v>
      </c>
    </row>
    <row r="29" spans="1:20" x14ac:dyDescent="0.2">
      <c r="F29" s="1"/>
      <c r="G29" s="4" t="s">
        <v>25</v>
      </c>
      <c r="H29" s="4"/>
      <c r="I29" s="4"/>
      <c r="J29" s="4"/>
      <c r="K29" s="4"/>
      <c r="L29" s="4"/>
      <c r="M29" s="4"/>
    </row>
    <row r="32" spans="1:20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4:20" x14ac:dyDescent="0.2">
      <c r="D33" s="53" t="s">
        <v>48</v>
      </c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</row>
    <row r="34" spans="4:20" x14ac:dyDescent="0.2">
      <c r="D34" s="28" t="s">
        <v>32</v>
      </c>
      <c r="E34" s="54" t="s">
        <v>30</v>
      </c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6"/>
      <c r="R34" s="29" t="s">
        <v>28</v>
      </c>
      <c r="S34" s="29" t="s">
        <v>29</v>
      </c>
    </row>
    <row r="35" spans="4:20" x14ac:dyDescent="0.2">
      <c r="D35" s="28" t="s">
        <v>33</v>
      </c>
      <c r="E35" s="44" t="s">
        <v>47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6"/>
      <c r="R35" s="14" t="s">
        <v>50</v>
      </c>
      <c r="S35" s="14">
        <v>1.7999999999999999E-2</v>
      </c>
    </row>
    <row r="36" spans="4:20" x14ac:dyDescent="0.2">
      <c r="D36" s="28"/>
      <c r="E36" s="44" t="s">
        <v>51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6"/>
      <c r="R36" s="14" t="s">
        <v>50</v>
      </c>
      <c r="S36" s="14">
        <v>1.7999999999999999E-2</v>
      </c>
    </row>
    <row r="37" spans="4:20" x14ac:dyDescent="0.2">
      <c r="D37" s="16" t="s">
        <v>31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17" t="s">
        <v>45</v>
      </c>
      <c r="S37" s="17">
        <v>5.415</v>
      </c>
      <c r="T37" t="s">
        <v>46</v>
      </c>
    </row>
    <row r="38" spans="4:20" x14ac:dyDescent="0.2">
      <c r="D38" s="28" t="s">
        <v>18</v>
      </c>
      <c r="E38" s="44" t="s">
        <v>52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6"/>
      <c r="R38" s="14" t="s">
        <v>41</v>
      </c>
      <c r="S38" s="14">
        <v>0.01</v>
      </c>
    </row>
    <row r="39" spans="4:20" x14ac:dyDescent="0.2">
      <c r="D39" s="16" t="s">
        <v>31</v>
      </c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17" t="s">
        <v>45</v>
      </c>
      <c r="S39" s="36">
        <v>0.35799999999999998</v>
      </c>
    </row>
    <row r="40" spans="4:20" x14ac:dyDescent="0.2">
      <c r="D40" s="28" t="s">
        <v>18</v>
      </c>
      <c r="E40" s="44" t="s">
        <v>54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6"/>
      <c r="R40" s="14" t="s">
        <v>38</v>
      </c>
      <c r="S40" s="14">
        <v>3.7999999999999999E-2</v>
      </c>
    </row>
    <row r="41" spans="4:20" x14ac:dyDescent="0.2">
      <c r="D41" s="28"/>
      <c r="E41" s="44" t="s">
        <v>55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6"/>
      <c r="R41" s="14" t="s">
        <v>38</v>
      </c>
      <c r="S41" s="14">
        <v>0.01</v>
      </c>
    </row>
    <row r="42" spans="4:20" x14ac:dyDescent="0.2">
      <c r="D42" s="28"/>
      <c r="E42" s="44" t="s">
        <v>56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6"/>
      <c r="R42" s="14" t="s">
        <v>38</v>
      </c>
      <c r="S42" s="14">
        <v>2.5000000000000001E-2</v>
      </c>
    </row>
    <row r="43" spans="4:20" x14ac:dyDescent="0.2">
      <c r="D43" s="16" t="s">
        <v>31</v>
      </c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17" t="s">
        <v>45</v>
      </c>
      <c r="S43" s="36">
        <v>4.085</v>
      </c>
      <c r="T43" t="s">
        <v>53</v>
      </c>
    </row>
    <row r="44" spans="4:20" x14ac:dyDescent="0.2">
      <c r="D44" s="28" t="s">
        <v>35</v>
      </c>
      <c r="E44" s="44" t="s">
        <v>59</v>
      </c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6"/>
      <c r="R44" s="14" t="s">
        <v>38</v>
      </c>
      <c r="S44" s="14">
        <v>0.16</v>
      </c>
    </row>
    <row r="45" spans="4:20" x14ac:dyDescent="0.2">
      <c r="D45" s="16" t="s">
        <v>31</v>
      </c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17" t="s">
        <v>45</v>
      </c>
      <c r="S45" s="37">
        <v>1.538</v>
      </c>
      <c r="T45" t="s">
        <v>58</v>
      </c>
    </row>
    <row r="46" spans="4:20" x14ac:dyDescent="0.2">
      <c r="D46" s="28" t="s">
        <v>35</v>
      </c>
      <c r="E46" s="44" t="s">
        <v>61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6"/>
      <c r="R46" s="14" t="s">
        <v>62</v>
      </c>
      <c r="S46" s="14">
        <v>0.01</v>
      </c>
    </row>
    <row r="47" spans="4:20" x14ac:dyDescent="0.2">
      <c r="D47" s="28"/>
      <c r="E47" s="44" t="s">
        <v>63</v>
      </c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6"/>
      <c r="R47" s="14" t="s">
        <v>62</v>
      </c>
      <c r="S47" s="14">
        <v>0.01</v>
      </c>
    </row>
    <row r="48" spans="4:20" x14ac:dyDescent="0.2">
      <c r="D48" s="28"/>
      <c r="E48" s="44" t="s">
        <v>39</v>
      </c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6"/>
      <c r="R48" s="14" t="s">
        <v>38</v>
      </c>
      <c r="S48" s="14">
        <v>0.03</v>
      </c>
    </row>
    <row r="49" spans="4:20" x14ac:dyDescent="0.2">
      <c r="D49" s="28"/>
      <c r="E49" s="44" t="s">
        <v>64</v>
      </c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6"/>
      <c r="R49" s="14" t="s">
        <v>38</v>
      </c>
      <c r="S49" s="14">
        <v>0.03</v>
      </c>
    </row>
    <row r="50" spans="4:20" x14ac:dyDescent="0.2">
      <c r="D50" s="28"/>
      <c r="E50" s="44" t="s">
        <v>65</v>
      </c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6"/>
      <c r="R50" s="14" t="s">
        <v>66</v>
      </c>
      <c r="S50" s="14">
        <v>0.01</v>
      </c>
    </row>
    <row r="51" spans="4:20" x14ac:dyDescent="0.2">
      <c r="D51" s="16" t="s">
        <v>31</v>
      </c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17" t="s">
        <v>45</v>
      </c>
      <c r="S51" s="37">
        <v>4.0460000000000003</v>
      </c>
      <c r="T51" t="s">
        <v>60</v>
      </c>
    </row>
    <row r="52" spans="4:20" x14ac:dyDescent="0.2">
      <c r="D52" s="28" t="s">
        <v>36</v>
      </c>
      <c r="E52" s="44" t="s">
        <v>71</v>
      </c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6"/>
      <c r="R52" s="14" t="s">
        <v>38</v>
      </c>
      <c r="S52" s="14">
        <v>3.0000000000000001E-3</v>
      </c>
    </row>
    <row r="53" spans="4:20" ht="28.5" customHeight="1" x14ac:dyDescent="0.2">
      <c r="D53" s="28"/>
      <c r="E53" s="47" t="s">
        <v>72</v>
      </c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9"/>
      <c r="R53" s="14" t="s">
        <v>73</v>
      </c>
      <c r="S53" s="14">
        <v>2</v>
      </c>
    </row>
    <row r="54" spans="4:20" x14ac:dyDescent="0.2">
      <c r="D54" s="16" t="s">
        <v>31</v>
      </c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17" t="s">
        <v>45</v>
      </c>
      <c r="S54" s="38">
        <v>3.7</v>
      </c>
    </row>
    <row r="55" spans="4:20" x14ac:dyDescent="0.2">
      <c r="D55" s="28" t="s">
        <v>36</v>
      </c>
      <c r="E55" s="47" t="s">
        <v>39</v>
      </c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9"/>
      <c r="R55" s="14" t="s">
        <v>38</v>
      </c>
      <c r="S55" s="14">
        <v>2.5000000000000001E-2</v>
      </c>
    </row>
    <row r="56" spans="4:20" x14ac:dyDescent="0.2">
      <c r="D56" s="28"/>
      <c r="E56" s="47" t="s">
        <v>64</v>
      </c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9"/>
      <c r="R56" s="14" t="s">
        <v>38</v>
      </c>
      <c r="S56" s="14">
        <v>2.5000000000000001E-2</v>
      </c>
    </row>
    <row r="57" spans="4:20" x14ac:dyDescent="0.2">
      <c r="D57" s="16" t="s">
        <v>31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17" t="s">
        <v>45</v>
      </c>
      <c r="S57" s="38">
        <v>2.8450000000000002</v>
      </c>
      <c r="T57" t="s">
        <v>74</v>
      </c>
    </row>
    <row r="58" spans="4:20" x14ac:dyDescent="0.2">
      <c r="D58" s="28" t="s">
        <v>36</v>
      </c>
      <c r="E58" s="47" t="s">
        <v>76</v>
      </c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9"/>
      <c r="R58" s="14" t="s">
        <v>77</v>
      </c>
      <c r="S58" s="14">
        <v>0.02</v>
      </c>
    </row>
    <row r="59" spans="4:20" x14ac:dyDescent="0.2">
      <c r="D59" s="28"/>
      <c r="E59" s="47" t="s">
        <v>78</v>
      </c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9"/>
      <c r="R59" s="14" t="s">
        <v>41</v>
      </c>
      <c r="S59" s="14">
        <v>0.01</v>
      </c>
    </row>
    <row r="60" spans="4:20" x14ac:dyDescent="0.2">
      <c r="D60" s="16" t="s">
        <v>31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17" t="s">
        <v>45</v>
      </c>
      <c r="S60" s="38">
        <v>0.96899999999999997</v>
      </c>
      <c r="T60" t="s">
        <v>75</v>
      </c>
    </row>
    <row r="61" spans="4:20" x14ac:dyDescent="0.2">
      <c r="D61" s="28" t="s">
        <v>36</v>
      </c>
      <c r="E61" s="47" t="s">
        <v>79</v>
      </c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9"/>
      <c r="R61" s="14" t="s">
        <v>38</v>
      </c>
      <c r="S61" s="14">
        <v>4.5</v>
      </c>
    </row>
    <row r="62" spans="4:20" x14ac:dyDescent="0.2">
      <c r="D62" s="16" t="s">
        <v>31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17" t="s">
        <v>45</v>
      </c>
      <c r="S62" s="38">
        <v>12.122</v>
      </c>
    </row>
    <row r="63" spans="4:20" x14ac:dyDescent="0.2">
      <c r="D63" s="28" t="s">
        <v>36</v>
      </c>
      <c r="E63" s="47" t="s">
        <v>40</v>
      </c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9"/>
      <c r="R63" s="14" t="s">
        <v>80</v>
      </c>
      <c r="S63" s="14">
        <v>5.8</v>
      </c>
    </row>
    <row r="64" spans="4:20" x14ac:dyDescent="0.2">
      <c r="D64" s="16" t="s">
        <v>31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17" t="s">
        <v>45</v>
      </c>
      <c r="S64" s="38">
        <v>2.9740000000000002</v>
      </c>
    </row>
    <row r="65" spans="4:19" x14ac:dyDescent="0.2">
      <c r="D65" s="28" t="s">
        <v>70</v>
      </c>
      <c r="E65" s="47" t="s">
        <v>81</v>
      </c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9"/>
      <c r="R65" s="14" t="s">
        <v>82</v>
      </c>
      <c r="S65" s="14">
        <v>0.01</v>
      </c>
    </row>
    <row r="66" spans="4:19" x14ac:dyDescent="0.2">
      <c r="D66" s="28"/>
      <c r="E66" s="47" t="s">
        <v>83</v>
      </c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9"/>
      <c r="R66" s="14" t="s">
        <v>41</v>
      </c>
      <c r="S66" s="14">
        <v>0.01</v>
      </c>
    </row>
    <row r="67" spans="4:19" x14ac:dyDescent="0.2">
      <c r="D67" s="16" t="s">
        <v>31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17" t="s">
        <v>45</v>
      </c>
      <c r="S67" s="39">
        <v>0.219</v>
      </c>
    </row>
    <row r="68" spans="4:19" x14ac:dyDescent="0.2">
      <c r="D68" s="28" t="s">
        <v>70</v>
      </c>
      <c r="E68" s="47" t="s">
        <v>84</v>
      </c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9"/>
      <c r="R68" s="14" t="s">
        <v>37</v>
      </c>
      <c r="S68" s="14">
        <v>0.08</v>
      </c>
    </row>
    <row r="69" spans="4:19" x14ac:dyDescent="0.2">
      <c r="D69" s="16" t="s">
        <v>31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17" t="s">
        <v>45</v>
      </c>
      <c r="S69" s="39">
        <v>2.7610000000000001</v>
      </c>
    </row>
    <row r="70" spans="4:19" x14ac:dyDescent="0.2">
      <c r="D70" s="28" t="s">
        <v>43</v>
      </c>
      <c r="E70" s="57" t="s">
        <v>84</v>
      </c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9"/>
      <c r="R70" s="6" t="s">
        <v>37</v>
      </c>
      <c r="S70" s="14">
        <v>0.04</v>
      </c>
    </row>
    <row r="71" spans="4:19" x14ac:dyDescent="0.2">
      <c r="D71" s="16" t="s">
        <v>31</v>
      </c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17" t="s">
        <v>45</v>
      </c>
      <c r="S71" s="40">
        <v>1.403</v>
      </c>
    </row>
    <row r="72" spans="4:19" x14ac:dyDescent="0.2">
      <c r="D72" s="28" t="s">
        <v>43</v>
      </c>
      <c r="E72" s="57" t="s">
        <v>85</v>
      </c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9"/>
      <c r="R72" s="6" t="s">
        <v>37</v>
      </c>
      <c r="S72" s="14">
        <v>0.88</v>
      </c>
    </row>
    <row r="73" spans="4:19" ht="13.5" customHeight="1" x14ac:dyDescent="0.2">
      <c r="D73" s="28"/>
      <c r="E73" s="57" t="s">
        <v>86</v>
      </c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9"/>
      <c r="R73" s="6" t="s">
        <v>41</v>
      </c>
      <c r="S73" s="14">
        <v>0.22</v>
      </c>
    </row>
    <row r="74" spans="4:19" ht="13.5" customHeight="1" x14ac:dyDescent="0.2">
      <c r="D74" s="28"/>
      <c r="E74" s="57" t="s">
        <v>87</v>
      </c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9"/>
      <c r="R74" s="6" t="s">
        <v>41</v>
      </c>
      <c r="S74" s="14">
        <v>0.06</v>
      </c>
    </row>
    <row r="75" spans="4:19" x14ac:dyDescent="0.2">
      <c r="D75" s="16" t="s">
        <v>31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17" t="s">
        <v>45</v>
      </c>
      <c r="S75" s="41">
        <v>73.959999999999994</v>
      </c>
    </row>
    <row r="76" spans="4:19" x14ac:dyDescent="0.2">
      <c r="D76" s="28" t="s">
        <v>44</v>
      </c>
      <c r="E76" s="57" t="s">
        <v>59</v>
      </c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9"/>
      <c r="R76" s="6" t="s">
        <v>38</v>
      </c>
      <c r="S76" s="14">
        <v>0.08</v>
      </c>
    </row>
    <row r="77" spans="4:19" x14ac:dyDescent="0.2">
      <c r="D77" s="16" t="s">
        <v>31</v>
      </c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17" t="s">
        <v>45</v>
      </c>
      <c r="S77" s="42">
        <v>0.77100000000000002</v>
      </c>
    </row>
  </sheetData>
  <mergeCells count="51">
    <mergeCell ref="E56:Q56"/>
    <mergeCell ref="E76:Q76"/>
    <mergeCell ref="E77:Q77"/>
    <mergeCell ref="E72:Q72"/>
    <mergeCell ref="E75:Q75"/>
    <mergeCell ref="E73:Q73"/>
    <mergeCell ref="E74:Q74"/>
    <mergeCell ref="E58:Q58"/>
    <mergeCell ref="E60:Q60"/>
    <mergeCell ref="E59:Q59"/>
    <mergeCell ref="E70:Q70"/>
    <mergeCell ref="E57:Q57"/>
    <mergeCell ref="E71:Q71"/>
    <mergeCell ref="E68:Q68"/>
    <mergeCell ref="E69:Q69"/>
    <mergeCell ref="E61:Q61"/>
    <mergeCell ref="E62:Q62"/>
    <mergeCell ref="E67:Q67"/>
    <mergeCell ref="E66:Q66"/>
    <mergeCell ref="E63:Q63"/>
    <mergeCell ref="E64:Q64"/>
    <mergeCell ref="E65:Q65"/>
    <mergeCell ref="E39:Q39"/>
    <mergeCell ref="E38:Q38"/>
    <mergeCell ref="E41:Q41"/>
    <mergeCell ref="E42:Q42"/>
    <mergeCell ref="E3:S3"/>
    <mergeCell ref="D5:F5"/>
    <mergeCell ref="H5:H6"/>
    <mergeCell ref="L5:Q5"/>
    <mergeCell ref="R5:R6"/>
    <mergeCell ref="O6:P6"/>
    <mergeCell ref="D33:S33"/>
    <mergeCell ref="E34:Q34"/>
    <mergeCell ref="E35:Q35"/>
    <mergeCell ref="E36:Q36"/>
    <mergeCell ref="E40:Q40"/>
    <mergeCell ref="E37:Q37"/>
    <mergeCell ref="E44:Q44"/>
    <mergeCell ref="E45:Q45"/>
    <mergeCell ref="E43:Q43"/>
    <mergeCell ref="E47:Q47"/>
    <mergeCell ref="E49:Q49"/>
    <mergeCell ref="E48:Q48"/>
    <mergeCell ref="E46:Q46"/>
    <mergeCell ref="E51:Q51"/>
    <mergeCell ref="E50:Q50"/>
    <mergeCell ref="E52:Q52"/>
    <mergeCell ref="E53:Q53"/>
    <mergeCell ref="E55:Q55"/>
    <mergeCell ref="E54:Q54"/>
  </mergeCells>
  <phoneticPr fontId="2" type="noConversion"/>
  <pageMargins left="0.28000000000000003" right="0.16" top="1" bottom="1" header="0.5" footer="0.5"/>
  <pageSetup paperSize="9" scale="89" orientation="landscape" horizontalDpi="0" verticalDpi="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2013</vt:lpstr>
      <vt:lpstr>'2013'!Область_печати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Imango</dc:creator>
  <cp:lastModifiedBy>User</cp:lastModifiedBy>
  <cp:lastPrinted>2013-10-15T04:21:56Z</cp:lastPrinted>
  <dcterms:created xsi:type="dcterms:W3CDTF">2007-02-04T12:22:59Z</dcterms:created>
  <dcterms:modified xsi:type="dcterms:W3CDTF">2014-02-13T06:13:59Z</dcterms:modified>
</cp:coreProperties>
</file>