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2013" sheetId="2" r:id="rId1"/>
  </sheets>
  <definedNames>
    <definedName name="_xlnm.Print_Area" localSheetId="0">'2013'!$D$32:$U$60</definedName>
  </definedNames>
  <calcPr calcId="145621"/>
</workbook>
</file>

<file path=xl/calcChain.xml><?xml version="1.0" encoding="utf-8"?>
<calcChain xmlns="http://schemas.openxmlformats.org/spreadsheetml/2006/main">
  <c r="S20" i="2" l="1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T19" i="2"/>
  <c r="S19" i="2"/>
  <c r="R19" i="2"/>
  <c r="H19" i="2"/>
  <c r="G19" i="2"/>
  <c r="F19" i="2"/>
  <c r="E19" i="2"/>
  <c r="D19" i="2"/>
  <c r="K17" i="2" l="1"/>
  <c r="E18" i="2" l="1"/>
  <c r="D18" i="2"/>
  <c r="F18" i="2" s="1"/>
  <c r="H18" i="2" l="1"/>
  <c r="R18" i="2"/>
  <c r="G18" i="2"/>
  <c r="S18" i="2" s="1"/>
  <c r="T18" i="2" s="1"/>
  <c r="E17" i="2"/>
  <c r="D17" i="2"/>
  <c r="K15" i="2"/>
  <c r="D16" i="2"/>
  <c r="E16" i="2"/>
  <c r="D8" i="2"/>
  <c r="E8" i="2"/>
  <c r="D9" i="2"/>
  <c r="E9" i="2"/>
  <c r="D10" i="2"/>
  <c r="E10" i="2"/>
  <c r="K10" i="2"/>
  <c r="D11" i="2"/>
  <c r="E11" i="2"/>
  <c r="F11" i="2" s="1"/>
  <c r="O11" i="2"/>
  <c r="D12" i="2"/>
  <c r="E12" i="2"/>
  <c r="D13" i="2"/>
  <c r="E13" i="2"/>
  <c r="F13" i="2"/>
  <c r="G13" i="2" s="1"/>
  <c r="D14" i="2"/>
  <c r="E14" i="2"/>
  <c r="K14" i="2"/>
  <c r="D15" i="2"/>
  <c r="E15" i="2"/>
  <c r="O15" i="2"/>
  <c r="F9" i="2" l="1"/>
  <c r="G9" i="2" s="1"/>
  <c r="F15" i="2"/>
  <c r="F17" i="2"/>
  <c r="G17" i="2" s="1"/>
  <c r="S17" i="2" s="1"/>
  <c r="T17" i="2" s="1"/>
  <c r="F14" i="2"/>
  <c r="H14" i="2" s="1"/>
  <c r="H13" i="2"/>
  <c r="F12" i="2"/>
  <c r="G12" i="2" s="1"/>
  <c r="F10" i="2"/>
  <c r="H10" i="2" s="1"/>
  <c r="H9" i="2"/>
  <c r="F16" i="2"/>
  <c r="G16" i="2" s="1"/>
  <c r="G14" i="2"/>
  <c r="R14" i="2"/>
  <c r="R12" i="2"/>
  <c r="G10" i="2"/>
  <c r="R16" i="2"/>
  <c r="G15" i="2"/>
  <c r="H15" i="2"/>
  <c r="R15" i="2"/>
  <c r="G11" i="2"/>
  <c r="H11" i="2"/>
  <c r="R11" i="2"/>
  <c r="R17" i="2"/>
  <c r="H17" i="2"/>
  <c r="R13" i="2"/>
  <c r="R9" i="2"/>
  <c r="S9" i="2" s="1"/>
  <c r="T9" i="2" s="1"/>
  <c r="F8" i="2"/>
  <c r="H16" i="2" l="1"/>
  <c r="S16" i="2" s="1"/>
  <c r="T16" i="2" s="1"/>
  <c r="R10" i="2"/>
  <c r="H12" i="2"/>
  <c r="S13" i="2"/>
  <c r="T13" i="2" s="1"/>
  <c r="G8" i="2"/>
  <c r="R8" i="2"/>
  <c r="H8" i="2"/>
  <c r="S11" i="2"/>
  <c r="T11" i="2" s="1"/>
  <c r="S15" i="2"/>
  <c r="T15" i="2" s="1"/>
  <c r="S10" i="2"/>
  <c r="T10" i="2" s="1"/>
  <c r="S12" i="2"/>
  <c r="T12" i="2" s="1"/>
  <c r="S14" i="2"/>
  <c r="T14" i="2" s="1"/>
  <c r="S8" i="2" l="1"/>
  <c r="T20" i="2" s="1"/>
  <c r="T8" i="2" l="1"/>
</calcChain>
</file>

<file path=xl/comments1.xml><?xml version="1.0" encoding="utf-8"?>
<comments xmlns="http://schemas.openxmlformats.org/spreadsheetml/2006/main">
  <authors>
    <author>user1</author>
  </authors>
  <commentList>
    <comment ref="O11" authorId="0">
      <text>
        <r>
          <rPr>
            <b/>
            <sz val="8"/>
            <color indexed="81"/>
            <rFont val="Tahoma"/>
            <charset val="204"/>
          </rPr>
          <t>user1:</t>
        </r>
        <r>
          <rPr>
            <sz val="8"/>
            <color indexed="81"/>
            <rFont val="Tahoma"/>
            <charset val="204"/>
          </rPr>
          <t xml:space="preserve">
краска-2099р.
</t>
        </r>
      </text>
    </comment>
    <comment ref="O15" authorId="0">
      <text>
        <r>
          <rPr>
            <b/>
            <sz val="8"/>
            <color indexed="81"/>
            <rFont val="Tahoma"/>
            <charset val="204"/>
          </rPr>
          <t>user1:</t>
        </r>
        <r>
          <rPr>
            <sz val="8"/>
            <color indexed="81"/>
            <rFont val="Tahoma"/>
            <charset val="204"/>
          </rPr>
          <t xml:space="preserve">
2200-испытлифта
546 р. Испыт перчаток
309р-вызов диспетчерской сл. водканала</t>
        </r>
      </text>
    </comment>
    <comment ref="I17" authorId="0">
      <text>
        <r>
          <rPr>
            <b/>
            <sz val="8"/>
            <color indexed="81"/>
            <rFont val="Tahoma"/>
            <charset val="204"/>
          </rPr>
          <t>user1:</t>
        </r>
        <r>
          <rPr>
            <sz val="8"/>
            <color indexed="81"/>
            <rFont val="Tahoma"/>
            <charset val="204"/>
          </rPr>
          <t xml:space="preserve">
изменено</t>
        </r>
      </text>
    </comment>
    <comment ref="P17" authorId="0">
      <text>
        <r>
          <rPr>
            <b/>
            <sz val="8"/>
            <color indexed="81"/>
            <rFont val="Tahoma"/>
            <charset val="204"/>
          </rPr>
          <t>user1:</t>
        </r>
        <r>
          <rPr>
            <sz val="8"/>
            <color indexed="81"/>
            <rFont val="Tahoma"/>
            <charset val="204"/>
          </rPr>
          <t xml:space="preserve">
без обслуживания счетчика</t>
        </r>
      </text>
    </comment>
  </commentList>
</comments>
</file>

<file path=xl/sharedStrings.xml><?xml version="1.0" encoding="utf-8"?>
<sst xmlns="http://schemas.openxmlformats.org/spreadsheetml/2006/main" count="127" uniqueCount="78">
  <si>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</si>
  <si>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</si>
  <si>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</si>
  <si>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</si>
  <si>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</si>
  <si>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</si>
  <si>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</si>
  <si>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</si>
  <si>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</si>
  <si>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</si>
  <si>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</si>
  <si>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</si>
  <si>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</si>
  <si>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</si>
  <si>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</si>
  <si>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</si>
  <si>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</si>
  <si>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</si>
  <si>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Ген. директор ООО "Георгиевск - ЖЭУ"                                            Никишина И.М.</t>
  </si>
  <si>
    <t xml:space="preserve">эксплуатац. </t>
  </si>
  <si>
    <t>содержание</t>
  </si>
  <si>
    <t>ремонт</t>
  </si>
  <si>
    <t>итого</t>
  </si>
  <si>
    <t>Лифт</t>
  </si>
  <si>
    <t>разное</t>
  </si>
  <si>
    <t>я</t>
  </si>
  <si>
    <t>Месяц</t>
  </si>
  <si>
    <t>Наименование работ</t>
  </si>
  <si>
    <t>ед. изм.</t>
  </si>
  <si>
    <t>кол-во</t>
  </si>
  <si>
    <t>сумма</t>
  </si>
  <si>
    <t>апрель</t>
  </si>
  <si>
    <t>ИТОГО</t>
  </si>
  <si>
    <t>март</t>
  </si>
  <si>
    <t>июль</t>
  </si>
  <si>
    <t>июнь</t>
  </si>
  <si>
    <t>Очистка канализационной сети: внутренней</t>
  </si>
  <si>
    <t>100м</t>
  </si>
  <si>
    <t>кв.4</t>
  </si>
  <si>
    <t>тыс.руб.</t>
  </si>
  <si>
    <t>Обслуж.</t>
  </si>
  <si>
    <t>счетчиков</t>
  </si>
  <si>
    <t>август</t>
  </si>
  <si>
    <t>100м тр-да</t>
  </si>
  <si>
    <t>100шт</t>
  </si>
  <si>
    <t>сентябрь</t>
  </si>
  <si>
    <t>октябрь</t>
  </si>
  <si>
    <t>квитанции</t>
  </si>
  <si>
    <t>ноябрь</t>
  </si>
  <si>
    <t>1 счетчик</t>
  </si>
  <si>
    <t>декабрь</t>
  </si>
  <si>
    <t>Учет доходов и расходов по Быкова 75 на 2013 год</t>
  </si>
  <si>
    <t>Перечень выполненных работ по сметам за 2013 год по дому Быкова 75</t>
  </si>
  <si>
    <t>февраль</t>
  </si>
  <si>
    <t>кв.3</t>
  </si>
  <si>
    <t>Разборка трубопроводов из водогазопроводных труб диаметром: до 100мм</t>
  </si>
  <si>
    <t>Прокладка трубопроводов канализации из полиэтиленовых труб высокой плотности диаметром: 110мм</t>
  </si>
  <si>
    <t>май</t>
  </si>
  <si>
    <t>Смена: выключателей</t>
  </si>
  <si>
    <t>Смена ламп: накаливания</t>
  </si>
  <si>
    <t>Провод двух- и трехжильный с разделительным основанием по стенам и потолкам, прокладываемый по основаниям: кирпиным</t>
  </si>
  <si>
    <t>подвал</t>
  </si>
  <si>
    <t>Разборка трубопроводов из чугунных канализационных труб диаметром: 100мм</t>
  </si>
  <si>
    <t>кв.15</t>
  </si>
  <si>
    <t>Прокладка трубопроводов водоснабжения из стальных водогазопроводных оцинкованных труб диаметром: 32мм</t>
  </si>
  <si>
    <t>Смена сгонов у трубопроводов диаметром: до 50мм</t>
  </si>
  <si>
    <t>100сгонов</t>
  </si>
  <si>
    <t>кв.31</t>
  </si>
  <si>
    <t>Разборка трубопроводов из водогазопроводных труб диаметром: до 63мм</t>
  </si>
  <si>
    <t>Прокладка трубопроводов водоснабжения из напорных полиэтиленовых труб низкого давления среднего типа наружным диаметром: 63мм</t>
  </si>
  <si>
    <t>Установка счетчиков (водоканал) диаметром: до 40мм</t>
  </si>
  <si>
    <t>Гидравлическое испытание трубопроводов систем отопление, водопровода и горячего водоснабжения диаметром: до 100мм</t>
  </si>
  <si>
    <t>100м2</t>
  </si>
  <si>
    <t>Выкашивание газонов: газонокосилка</t>
  </si>
  <si>
    <t>уборка территории</t>
  </si>
  <si>
    <t>с октября 2484</t>
  </si>
  <si>
    <t>10м2</t>
  </si>
  <si>
    <t>Бетонирование (с помощью бадьи) конструкций: наружных стен толщиной до 10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</si>
</sst>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2" fontId="3" fillId="0" borderId="2" xfId="0" applyNumberFormat="1" applyFont="1" applyBorder="1" applyAlignment="1"/>
    <xf numFmtId="0" fontId="3" fillId="0" borderId="3" xfId="0" applyFont="1" applyBorder="1"/>
    <xf numFmtId="1" fontId="3" fillId="0" borderId="3" xfId="0" applyNumberFormat="1" applyFont="1" applyBorder="1"/>
    <xf numFmtId="2" fontId="3" fillId="0" borderId="4" xfId="0" applyNumberFormat="1" applyFont="1" applyBorder="1"/>
    <xf numFmtId="2" fontId="3" fillId="0" borderId="3" xfId="0" applyNumberFormat="1" applyFont="1" applyBorder="1"/>
    <xf numFmtId="2" fontId="3" fillId="0" borderId="5" xfId="0" applyNumberFormat="1" applyFont="1" applyBorder="1"/>
    <xf numFmtId="0" fontId="3" fillId="0" borderId="4" xfId="0" applyFont="1" applyBorder="1"/>
    <xf numFmtId="1" fontId="3" fillId="0" borderId="4" xfId="0" applyNumberFormat="1" applyFont="1" applyBorder="1"/>
    <xf numFmtId="164" fontId="3" fillId="2" borderId="4" xfId="0" applyNumberFormat="1" applyFont="1" applyFill="1" applyBorder="1" applyAlignment="1"/>
    <xf numFmtId="164" fontId="3" fillId="3" borderId="4" xfId="0" applyNumberFormat="1" applyFont="1" applyFill="1" applyBorder="1" applyAlignment="1"/>
    <xf numFmtId="2" fontId="0" fillId="0" borderId="4" xfId="0" applyNumberFormat="1" applyBorder="1"/>
    <xf numFmtId="0" fontId="0" fillId="0" borderId="4" xfId="0" applyBorder="1"/>
    <xf numFmtId="0" fontId="4" fillId="4" borderId="4" xfId="0" applyNumberFormat="1" applyFont="1" applyFill="1" applyBorder="1" applyAlignment="1">
      <alignment horizontal="left"/>
    </xf>
    <xf numFmtId="0" fontId="4" fillId="4" borderId="4" xfId="0" applyFont="1" applyFill="1" applyBorder="1"/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4" xfId="0" applyNumberFormat="1" applyFont="1" applyBorder="1"/>
    <xf numFmtId="2" fontId="3" fillId="5" borderId="4" xfId="0" applyNumberFormat="1" applyFont="1" applyFill="1" applyBorder="1"/>
    <xf numFmtId="0" fontId="4" fillId="7" borderId="4" xfId="0" applyNumberFormat="1" applyFont="1" applyFill="1" applyBorder="1"/>
    <xf numFmtId="0" fontId="4" fillId="8" borderId="4" xfId="0" applyNumberFormat="1" applyFont="1" applyFill="1" applyBorder="1"/>
    <xf numFmtId="0" fontId="0" fillId="6" borderId="4" xfId="0" applyFill="1" applyBorder="1"/>
    <xf numFmtId="164" fontId="2" fillId="6" borderId="4" xfId="0" applyNumberFormat="1" applyFont="1" applyFill="1" applyBorder="1"/>
    <xf numFmtId="2" fontId="2" fillId="6" borderId="4" xfId="0" applyNumberFormat="1" applyFont="1" applyFill="1" applyBorder="1"/>
    <xf numFmtId="164" fontId="0" fillId="0" borderId="0" xfId="0" applyNumberFormat="1"/>
    <xf numFmtId="0" fontId="7" fillId="0" borderId="0" xfId="0" applyFont="1" applyAlignment="1"/>
    <xf numFmtId="0" fontId="4" fillId="9" borderId="4" xfId="0" applyNumberFormat="1" applyFont="1" applyFill="1" applyBorder="1"/>
    <xf numFmtId="0" fontId="4" fillId="6" borderId="4" xfId="0" applyNumberFormat="1" applyFont="1" applyFill="1" applyBorder="1"/>
    <xf numFmtId="0" fontId="9" fillId="0" borderId="0" xfId="0" applyFont="1"/>
    <xf numFmtId="0" fontId="4" fillId="11" borderId="4" xfId="0" applyNumberFormat="1" applyFont="1" applyFill="1" applyBorder="1"/>
    <xf numFmtId="0" fontId="0" fillId="0" borderId="0" xfId="0" applyBorder="1"/>
    <xf numFmtId="9" fontId="0" fillId="0" borderId="0" xfId="0" applyNumberFormat="1" applyBorder="1"/>
    <xf numFmtId="0" fontId="0" fillId="0" borderId="0" xfId="0" applyFill="1" applyBorder="1"/>
    <xf numFmtId="9" fontId="0" fillId="0" borderId="0" xfId="0" applyNumberFormat="1" applyFill="1" applyBorder="1"/>
    <xf numFmtId="164" fontId="3" fillId="0" borderId="0" xfId="0" applyNumberFormat="1" applyFont="1" applyFill="1" applyBorder="1" applyAlignment="1"/>
    <xf numFmtId="2" fontId="0" fillId="0" borderId="0" xfId="0" applyNumberFormat="1" applyFill="1" applyBorder="1"/>
    <xf numFmtId="0" fontId="0" fillId="0" borderId="0" xfId="0" applyBorder="1" applyAlignment="1"/>
    <xf numFmtId="2" fontId="4" fillId="4" borderId="2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10" borderId="0" xfId="0" applyNumberFormat="1" applyFont="1" applyFill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3:FA64"/>
  <sheetViews>
    <sheetView tabSelected="1" workbookViewId="0">
      <selection activeCell="I22" sqref="I22"/>
    </sheetView>
  </sheetViews>
  <sheetFormatPr defaultRowHeight="12.75" x14ac:dyDescent="0.2"/>
  <cols>
    <col min="1" max="1" width="1.85546875" customWidth="1"/>
    <col min="2" max="2" width="2.7109375" customWidth="1"/>
    <col min="3" max="3" width="2.5703125" customWidth="1"/>
    <col min="4" max="4" width="10.28515625" customWidth="1"/>
    <col min="5" max="5" width="9.85546875" customWidth="1"/>
    <col min="12" max="12" width="10.7109375" bestFit="1" customWidth="1"/>
    <col min="13" max="13" width="10" customWidth="1"/>
    <col min="19" max="19" width="9.85546875" customWidth="1"/>
    <col min="20" max="20" width="10.140625" bestFit="1" customWidth="1"/>
  </cols>
  <sheetData>
    <row r="3" spans="1:157" x14ac:dyDescent="0.2"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57" ht="15" x14ac:dyDescent="0.25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157" x14ac:dyDescent="0.2">
      <c r="A5" s="4"/>
      <c r="B5" s="5" t="s">
        <v>8</v>
      </c>
      <c r="C5" s="6" t="s">
        <v>9</v>
      </c>
      <c r="D5" s="55" t="s">
        <v>1</v>
      </c>
      <c r="E5" s="56"/>
      <c r="F5" s="57"/>
      <c r="G5" s="7" t="s">
        <v>2</v>
      </c>
      <c r="H5" s="64" t="s">
        <v>4</v>
      </c>
      <c r="I5" s="7" t="s">
        <v>5</v>
      </c>
      <c r="J5" s="8" t="s">
        <v>10</v>
      </c>
      <c r="K5" s="9" t="s">
        <v>6</v>
      </c>
      <c r="L5" s="59" t="s">
        <v>16</v>
      </c>
      <c r="M5" s="60"/>
      <c r="N5" s="60"/>
      <c r="O5" s="60"/>
      <c r="P5" s="60"/>
      <c r="Q5" s="60"/>
      <c r="R5" s="61"/>
      <c r="S5" s="64" t="s">
        <v>15</v>
      </c>
      <c r="T5" s="8" t="s">
        <v>0</v>
      </c>
    </row>
    <row r="6" spans="1:157" x14ac:dyDescent="0.2">
      <c r="A6" s="4"/>
      <c r="B6" s="10"/>
      <c r="C6" s="11" t="s">
        <v>13</v>
      </c>
      <c r="D6" s="12" t="s">
        <v>20</v>
      </c>
      <c r="E6" s="12" t="s">
        <v>21</v>
      </c>
      <c r="F6" s="12" t="s">
        <v>22</v>
      </c>
      <c r="G6" s="13" t="s">
        <v>3</v>
      </c>
      <c r="H6" s="65"/>
      <c r="I6" s="13" t="s">
        <v>12</v>
      </c>
      <c r="J6" s="13" t="s">
        <v>11</v>
      </c>
      <c r="K6" s="7" t="s">
        <v>7</v>
      </c>
      <c r="L6" s="14" t="s">
        <v>17</v>
      </c>
      <c r="M6" s="62" t="s">
        <v>23</v>
      </c>
      <c r="N6" s="63"/>
      <c r="O6" s="13" t="s">
        <v>24</v>
      </c>
      <c r="P6" s="13" t="s">
        <v>40</v>
      </c>
      <c r="Q6" s="13" t="s">
        <v>47</v>
      </c>
      <c r="R6" s="13" t="s">
        <v>19</v>
      </c>
      <c r="S6" s="65"/>
      <c r="T6" s="10" t="s">
        <v>14</v>
      </c>
    </row>
    <row r="7" spans="1:157" x14ac:dyDescent="0.2">
      <c r="A7" s="4"/>
      <c r="B7" s="10"/>
      <c r="C7" s="11"/>
      <c r="D7" s="12"/>
      <c r="E7" s="12"/>
      <c r="F7" s="27">
        <v>-209371.22</v>
      </c>
      <c r="G7" s="13"/>
      <c r="H7" s="23"/>
      <c r="I7" s="13"/>
      <c r="J7" s="13"/>
      <c r="K7" s="7"/>
      <c r="L7" s="14"/>
      <c r="M7" s="24"/>
      <c r="N7" s="25"/>
      <c r="O7" s="13"/>
      <c r="P7" s="13" t="s">
        <v>41</v>
      </c>
      <c r="Q7" s="13"/>
      <c r="R7" s="13"/>
      <c r="S7" s="23"/>
      <c r="T7" s="15"/>
    </row>
    <row r="8" spans="1:157" x14ac:dyDescent="0.2">
      <c r="A8" s="15" t="s">
        <v>25</v>
      </c>
      <c r="B8" s="15"/>
      <c r="C8" s="16"/>
      <c r="D8" s="17">
        <f>24046.34+3544.4</f>
        <v>27590.74</v>
      </c>
      <c r="E8" s="17">
        <f>4648.4+386.1</f>
        <v>5034.5</v>
      </c>
      <c r="F8" s="17">
        <f t="shared" ref="F8:F19" si="0">SUM(D8:E8)</f>
        <v>32625.24</v>
      </c>
      <c r="G8" s="18">
        <f t="shared" ref="G8:G19" si="1">SUM(F8*0.03)</f>
        <v>978.75720000000001</v>
      </c>
      <c r="H8" s="18">
        <f t="shared" ref="H8:H19" si="2">SUM(F8*0.06)</f>
        <v>1957.5144</v>
      </c>
      <c r="I8" s="18">
        <v>3691</v>
      </c>
      <c r="J8" s="18">
        <v>0</v>
      </c>
      <c r="K8" s="18">
        <v>0</v>
      </c>
      <c r="L8" s="18">
        <v>2224.96</v>
      </c>
      <c r="M8" s="18">
        <v>9653</v>
      </c>
      <c r="N8" s="18">
        <v>0</v>
      </c>
      <c r="O8" s="18">
        <v>3810</v>
      </c>
      <c r="P8" s="18">
        <v>1700</v>
      </c>
      <c r="Q8" s="18">
        <v>540</v>
      </c>
      <c r="R8" s="18">
        <f t="shared" ref="R8:R19" si="3">SUM(F8*0.15)</f>
        <v>4893.7860000000001</v>
      </c>
      <c r="S8" s="18">
        <f t="shared" ref="S8:S19" si="4">SUM(G8:R8)</f>
        <v>29449.017599999999</v>
      </c>
      <c r="T8" s="12">
        <f t="shared" ref="T8:T19" si="5">F8-S8</f>
        <v>3176.2224000000024</v>
      </c>
    </row>
    <row r="9" spans="1:157" x14ac:dyDescent="0.2">
      <c r="A9" s="15" t="s">
        <v>53</v>
      </c>
      <c r="B9" s="15"/>
      <c r="C9" s="16"/>
      <c r="D9" s="17">
        <f>24326.1+894.4</f>
        <v>25220.5</v>
      </c>
      <c r="E9" s="17">
        <f>8547.46+344</f>
        <v>8891.4599999999991</v>
      </c>
      <c r="F9" s="17">
        <f t="shared" si="0"/>
        <v>34111.96</v>
      </c>
      <c r="G9" s="18">
        <f t="shared" si="1"/>
        <v>1023.3588</v>
      </c>
      <c r="H9" s="18">
        <f t="shared" si="2"/>
        <v>2046.7175999999999</v>
      </c>
      <c r="I9" s="18">
        <v>3691</v>
      </c>
      <c r="J9" s="18">
        <v>0</v>
      </c>
      <c r="K9" s="18">
        <v>0</v>
      </c>
      <c r="L9" s="18">
        <v>2224.96</v>
      </c>
      <c r="M9" s="18">
        <v>9653</v>
      </c>
      <c r="N9" s="18">
        <v>0</v>
      </c>
      <c r="O9" s="18">
        <v>3810</v>
      </c>
      <c r="P9" s="18">
        <v>1700</v>
      </c>
      <c r="Q9" s="18">
        <v>540</v>
      </c>
      <c r="R9" s="18">
        <f t="shared" si="3"/>
        <v>5116.7939999999999</v>
      </c>
      <c r="S9" s="18">
        <f t="shared" si="4"/>
        <v>29805.830399999999</v>
      </c>
      <c r="T9" s="12">
        <f t="shared" si="5"/>
        <v>4306.1296000000002</v>
      </c>
    </row>
    <row r="10" spans="1:157" x14ac:dyDescent="0.2">
      <c r="A10" s="15" t="s">
        <v>33</v>
      </c>
      <c r="B10" s="15"/>
      <c r="C10" s="16"/>
      <c r="D10" s="17">
        <f>16919.71+6110.3+894.4</f>
        <v>23924.41</v>
      </c>
      <c r="E10" s="17">
        <f>6479.5+1758.8+344</f>
        <v>8582.2999999999993</v>
      </c>
      <c r="F10" s="17">
        <f t="shared" si="0"/>
        <v>32506.71</v>
      </c>
      <c r="G10" s="18">
        <f t="shared" si="1"/>
        <v>975.20129999999995</v>
      </c>
      <c r="H10" s="18">
        <f t="shared" si="2"/>
        <v>1950.4025999999999</v>
      </c>
      <c r="I10" s="18">
        <v>3691</v>
      </c>
      <c r="J10" s="18">
        <v>0</v>
      </c>
      <c r="K10" s="18">
        <f>767+5502+5181</f>
        <v>11450</v>
      </c>
      <c r="L10" s="18">
        <v>2224.96</v>
      </c>
      <c r="M10" s="18">
        <v>9653</v>
      </c>
      <c r="N10" s="18">
        <v>0</v>
      </c>
      <c r="O10" s="18">
        <v>3810</v>
      </c>
      <c r="P10" s="18">
        <v>1700</v>
      </c>
      <c r="Q10" s="18">
        <v>540</v>
      </c>
      <c r="R10" s="18">
        <f t="shared" si="3"/>
        <v>4876.0064999999995</v>
      </c>
      <c r="S10" s="18">
        <f t="shared" si="4"/>
        <v>40870.570399999997</v>
      </c>
      <c r="T10" s="12">
        <f t="shared" si="5"/>
        <v>-8363.8603999999978</v>
      </c>
    </row>
    <row r="11" spans="1:157" x14ac:dyDescent="0.2">
      <c r="A11" s="15" t="s">
        <v>31</v>
      </c>
      <c r="B11" s="15"/>
      <c r="C11" s="16"/>
      <c r="D11" s="17">
        <f>21646.7+1296.1</f>
        <v>22942.799999999999</v>
      </c>
      <c r="E11" s="17">
        <f>7982.81+498.9</f>
        <v>8481.7100000000009</v>
      </c>
      <c r="F11" s="17">
        <f t="shared" si="0"/>
        <v>31424.510000000002</v>
      </c>
      <c r="G11" s="18">
        <f t="shared" si="1"/>
        <v>942.73530000000005</v>
      </c>
      <c r="H11" s="18">
        <f t="shared" si="2"/>
        <v>1885.4706000000001</v>
      </c>
      <c r="I11" s="18">
        <v>3691</v>
      </c>
      <c r="J11" s="18">
        <v>0</v>
      </c>
      <c r="K11" s="18">
        <v>0</v>
      </c>
      <c r="L11" s="18">
        <v>2224.96</v>
      </c>
      <c r="M11" s="18">
        <v>9653</v>
      </c>
      <c r="N11" s="18">
        <v>0</v>
      </c>
      <c r="O11" s="18">
        <f>3810+2099</f>
        <v>5909</v>
      </c>
      <c r="P11" s="18">
        <v>1700</v>
      </c>
      <c r="Q11" s="18">
        <v>540</v>
      </c>
      <c r="R11" s="18">
        <f t="shared" si="3"/>
        <v>4713.6765000000005</v>
      </c>
      <c r="S11" s="18">
        <f t="shared" si="4"/>
        <v>31259.842400000001</v>
      </c>
      <c r="T11" s="12">
        <f t="shared" si="5"/>
        <v>164.66760000000068</v>
      </c>
    </row>
    <row r="12" spans="1:157" x14ac:dyDescent="0.2">
      <c r="A12" s="15" t="s">
        <v>57</v>
      </c>
      <c r="B12" s="15"/>
      <c r="C12" s="16"/>
      <c r="D12" s="17">
        <f>23747.5+2197</f>
        <v>25944.5</v>
      </c>
      <c r="E12" s="17">
        <f>9387.69+845.93</f>
        <v>10233.620000000001</v>
      </c>
      <c r="F12" s="17">
        <f t="shared" si="0"/>
        <v>36178.120000000003</v>
      </c>
      <c r="G12" s="18">
        <f t="shared" si="1"/>
        <v>1085.3436000000002</v>
      </c>
      <c r="H12" s="18">
        <f t="shared" si="2"/>
        <v>2170.6872000000003</v>
      </c>
      <c r="I12" s="18">
        <v>3691</v>
      </c>
      <c r="J12" s="18">
        <v>0</v>
      </c>
      <c r="K12" s="18">
        <v>2231</v>
      </c>
      <c r="L12" s="18">
        <v>2224.96</v>
      </c>
      <c r="M12" s="18">
        <v>9653</v>
      </c>
      <c r="N12" s="18">
        <v>0</v>
      </c>
      <c r="O12" s="18">
        <v>3810</v>
      </c>
      <c r="P12" s="18">
        <v>0</v>
      </c>
      <c r="Q12" s="18">
        <v>540</v>
      </c>
      <c r="R12" s="18">
        <f t="shared" si="3"/>
        <v>5426.7179999999998</v>
      </c>
      <c r="S12" s="18">
        <f t="shared" si="4"/>
        <v>30832.7088</v>
      </c>
      <c r="T12" s="12">
        <f t="shared" si="5"/>
        <v>5345.4112000000023</v>
      </c>
    </row>
    <row r="13" spans="1:157" x14ac:dyDescent="0.2">
      <c r="A13" s="15" t="s">
        <v>35</v>
      </c>
      <c r="B13" s="15"/>
      <c r="C13" s="16"/>
      <c r="D13" s="17">
        <f>22224.6+1305.2+5123.68</f>
        <v>28653.48</v>
      </c>
      <c r="E13" s="17">
        <f>11722.9+694.8+2232.07</f>
        <v>14649.769999999999</v>
      </c>
      <c r="F13" s="17">
        <f t="shared" si="0"/>
        <v>43303.25</v>
      </c>
      <c r="G13" s="18">
        <f t="shared" si="1"/>
        <v>1299.0974999999999</v>
      </c>
      <c r="H13" s="18">
        <f t="shared" si="2"/>
        <v>2598.1949999999997</v>
      </c>
      <c r="I13" s="18">
        <v>3691</v>
      </c>
      <c r="J13" s="18">
        <v>0</v>
      </c>
      <c r="K13" s="18">
        <v>998</v>
      </c>
      <c r="L13" s="18">
        <v>2224.96</v>
      </c>
      <c r="M13" s="18">
        <v>9653</v>
      </c>
      <c r="N13" s="18">
        <v>0</v>
      </c>
      <c r="O13" s="18">
        <v>3810</v>
      </c>
      <c r="P13" s="18">
        <v>0</v>
      </c>
      <c r="Q13" s="18">
        <v>540</v>
      </c>
      <c r="R13" s="18">
        <f t="shared" si="3"/>
        <v>6495.4875000000002</v>
      </c>
      <c r="S13" s="18">
        <f t="shared" si="4"/>
        <v>31309.739999999998</v>
      </c>
      <c r="T13" s="12">
        <f t="shared" si="5"/>
        <v>11993.510000000002</v>
      </c>
    </row>
    <row r="14" spans="1:157" x14ac:dyDescent="0.2">
      <c r="A14" s="15" t="s">
        <v>34</v>
      </c>
      <c r="B14" s="15"/>
      <c r="C14" s="16"/>
      <c r="D14" s="17">
        <f>31715.03+900.9</f>
        <v>32615.93</v>
      </c>
      <c r="E14" s="17">
        <f>10404.9+346.5</f>
        <v>10751.4</v>
      </c>
      <c r="F14" s="17">
        <f t="shared" si="0"/>
        <v>43367.33</v>
      </c>
      <c r="G14" s="18">
        <f t="shared" si="1"/>
        <v>1301.0199</v>
      </c>
      <c r="H14" s="18">
        <f t="shared" si="2"/>
        <v>2602.0398</v>
      </c>
      <c r="I14" s="18">
        <v>3691</v>
      </c>
      <c r="J14" s="18">
        <v>0</v>
      </c>
      <c r="K14" s="18">
        <f>768+9507</f>
        <v>10275</v>
      </c>
      <c r="L14" s="18">
        <v>2224.96</v>
      </c>
      <c r="M14" s="18">
        <v>9653</v>
      </c>
      <c r="N14" s="18">
        <v>0</v>
      </c>
      <c r="O14" s="18">
        <v>3810</v>
      </c>
      <c r="P14" s="18">
        <v>0</v>
      </c>
      <c r="Q14" s="18">
        <v>540</v>
      </c>
      <c r="R14" s="18">
        <f t="shared" si="3"/>
        <v>6505.0995000000003</v>
      </c>
      <c r="S14" s="18">
        <f t="shared" si="4"/>
        <v>40602.119200000001</v>
      </c>
      <c r="T14" s="12">
        <f t="shared" si="5"/>
        <v>2765.2108000000007</v>
      </c>
    </row>
    <row r="15" spans="1:157" x14ac:dyDescent="0.2">
      <c r="A15" s="15" t="s">
        <v>42</v>
      </c>
      <c r="B15" s="15"/>
      <c r="C15" s="16"/>
      <c r="D15" s="17">
        <f>27148.56+900.9</f>
        <v>28049.460000000003</v>
      </c>
      <c r="E15" s="17">
        <f>11520+346.5</f>
        <v>11866.5</v>
      </c>
      <c r="F15" s="17">
        <f t="shared" si="0"/>
        <v>39915.960000000006</v>
      </c>
      <c r="G15" s="18">
        <f t="shared" si="1"/>
        <v>1197.4788000000001</v>
      </c>
      <c r="H15" s="18">
        <f t="shared" si="2"/>
        <v>2394.9576000000002</v>
      </c>
      <c r="I15" s="18">
        <v>3691</v>
      </c>
      <c r="J15" s="18">
        <v>0</v>
      </c>
      <c r="K15" s="18">
        <f>15336+6209+3192</f>
        <v>24737</v>
      </c>
      <c r="L15" s="18">
        <v>2224.96</v>
      </c>
      <c r="M15" s="18">
        <v>9653</v>
      </c>
      <c r="N15" s="18">
        <v>0</v>
      </c>
      <c r="O15" s="18">
        <f>3810+3055</f>
        <v>6865</v>
      </c>
      <c r="P15" s="18">
        <v>0</v>
      </c>
      <c r="Q15" s="18">
        <v>540</v>
      </c>
      <c r="R15" s="18">
        <f t="shared" si="3"/>
        <v>5987.3940000000011</v>
      </c>
      <c r="S15" s="18">
        <f t="shared" si="4"/>
        <v>57290.790399999998</v>
      </c>
      <c r="T15" s="12">
        <f t="shared" si="5"/>
        <v>-17374.830399999992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</row>
    <row r="16" spans="1:157" x14ac:dyDescent="0.2">
      <c r="A16" s="15" t="s">
        <v>45</v>
      </c>
      <c r="B16" s="15"/>
      <c r="C16" s="16"/>
      <c r="D16" s="17">
        <f>27167.23+1553.5</f>
        <v>28720.73</v>
      </c>
      <c r="E16" s="17">
        <f>10449+404.7</f>
        <v>10853.7</v>
      </c>
      <c r="F16" s="17">
        <f t="shared" si="0"/>
        <v>39574.43</v>
      </c>
      <c r="G16" s="18">
        <f t="shared" si="1"/>
        <v>1187.2329</v>
      </c>
      <c r="H16" s="18">
        <f t="shared" si="2"/>
        <v>2374.4657999999999</v>
      </c>
      <c r="I16" s="18">
        <v>3691</v>
      </c>
      <c r="J16" s="18">
        <v>0</v>
      </c>
      <c r="K16" s="18">
        <v>0</v>
      </c>
      <c r="L16" s="18">
        <v>2224.96</v>
      </c>
      <c r="M16" s="18">
        <v>9653</v>
      </c>
      <c r="N16" s="18">
        <v>0</v>
      </c>
      <c r="O16" s="18">
        <v>3810</v>
      </c>
      <c r="P16" s="18">
        <v>0</v>
      </c>
      <c r="Q16" s="18">
        <v>540</v>
      </c>
      <c r="R16" s="18">
        <f t="shared" si="3"/>
        <v>5936.1644999999999</v>
      </c>
      <c r="S16" s="18">
        <f t="shared" si="4"/>
        <v>29416.823199999999</v>
      </c>
      <c r="T16" s="12">
        <f t="shared" si="5"/>
        <v>10157.606800000001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</row>
    <row r="17" spans="1:157" x14ac:dyDescent="0.2">
      <c r="A17" s="15" t="s">
        <v>46</v>
      </c>
      <c r="B17" s="15"/>
      <c r="C17" s="16"/>
      <c r="D17" s="17">
        <f>22676.07+1553.5</f>
        <v>24229.57</v>
      </c>
      <c r="E17" s="17">
        <f>8721.5+597.5</f>
        <v>9319</v>
      </c>
      <c r="F17" s="17">
        <f t="shared" si="0"/>
        <v>33548.57</v>
      </c>
      <c r="G17" s="18">
        <f t="shared" si="1"/>
        <v>1006.4571</v>
      </c>
      <c r="H17" s="18">
        <f t="shared" si="2"/>
        <v>2012.9141999999999</v>
      </c>
      <c r="I17" s="18">
        <v>2484</v>
      </c>
      <c r="J17" s="18">
        <v>0</v>
      </c>
      <c r="K17" s="18">
        <f>771+272</f>
        <v>1043</v>
      </c>
      <c r="L17" s="18">
        <v>2224.96</v>
      </c>
      <c r="M17" s="18">
        <v>9653</v>
      </c>
      <c r="N17" s="18">
        <v>0</v>
      </c>
      <c r="O17" s="18">
        <v>3810</v>
      </c>
      <c r="P17" s="18">
        <v>0</v>
      </c>
      <c r="Q17" s="18">
        <v>540</v>
      </c>
      <c r="R17" s="18">
        <f t="shared" si="3"/>
        <v>5032.2855</v>
      </c>
      <c r="S17" s="18">
        <f t="shared" si="4"/>
        <v>27806.616799999996</v>
      </c>
      <c r="T17" s="12">
        <f t="shared" si="5"/>
        <v>5741.9532000000036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</row>
    <row r="18" spans="1:157" x14ac:dyDescent="0.2">
      <c r="A18" s="15" t="s">
        <v>48</v>
      </c>
      <c r="B18" s="15"/>
      <c r="C18" s="16"/>
      <c r="D18" s="17">
        <f>23963.19+17711.5+2206.1+643.5</f>
        <v>44524.29</v>
      </c>
      <c r="E18" s="17">
        <f>8557.5+2288.5+848.5+247.5</f>
        <v>11942</v>
      </c>
      <c r="F18" s="17">
        <f t="shared" si="0"/>
        <v>56466.29</v>
      </c>
      <c r="G18" s="18">
        <f t="shared" si="1"/>
        <v>1693.9886999999999</v>
      </c>
      <c r="H18" s="18">
        <f t="shared" si="2"/>
        <v>3387.9773999999998</v>
      </c>
      <c r="I18" s="18">
        <v>2484</v>
      </c>
      <c r="J18" s="18">
        <v>0</v>
      </c>
      <c r="K18" s="18">
        <v>0</v>
      </c>
      <c r="L18" s="18">
        <v>2224.96</v>
      </c>
      <c r="M18" s="18">
        <v>9653</v>
      </c>
      <c r="N18" s="18">
        <v>0</v>
      </c>
      <c r="O18" s="18">
        <v>3810</v>
      </c>
      <c r="P18" s="18">
        <v>0</v>
      </c>
      <c r="Q18" s="18">
        <v>540</v>
      </c>
      <c r="R18" s="18">
        <f t="shared" si="3"/>
        <v>8469.9434999999994</v>
      </c>
      <c r="S18" s="18">
        <f t="shared" si="4"/>
        <v>32263.869599999998</v>
      </c>
      <c r="T18" s="12">
        <f t="shared" si="5"/>
        <v>24202.420400000003</v>
      </c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</row>
    <row r="19" spans="1:157" x14ac:dyDescent="0.2">
      <c r="A19" s="15" t="s">
        <v>50</v>
      </c>
      <c r="B19" s="15"/>
      <c r="C19" s="16"/>
      <c r="D19" s="17">
        <f>25550.5+2841.8+652.6</f>
        <v>29044.899999999998</v>
      </c>
      <c r="E19" s="17">
        <f>10333.76+1093+251</f>
        <v>11677.76</v>
      </c>
      <c r="F19" s="17">
        <f t="shared" si="0"/>
        <v>40722.659999999996</v>
      </c>
      <c r="G19" s="18">
        <f t="shared" si="1"/>
        <v>1221.6797999999999</v>
      </c>
      <c r="H19" s="18">
        <f t="shared" si="2"/>
        <v>2443.3595999999998</v>
      </c>
      <c r="I19" s="18">
        <v>2484</v>
      </c>
      <c r="J19" s="18">
        <v>0</v>
      </c>
      <c r="K19" s="18">
        <v>0</v>
      </c>
      <c r="L19" s="18">
        <v>2224.96</v>
      </c>
      <c r="M19" s="18">
        <v>9653</v>
      </c>
      <c r="N19" s="18">
        <v>0</v>
      </c>
      <c r="O19" s="18">
        <v>3810</v>
      </c>
      <c r="P19" s="18">
        <v>0</v>
      </c>
      <c r="Q19" s="18">
        <v>540</v>
      </c>
      <c r="R19" s="18">
        <f t="shared" si="3"/>
        <v>6108.3989999999994</v>
      </c>
      <c r="S19" s="18">
        <f t="shared" si="4"/>
        <v>28485.398399999998</v>
      </c>
      <c r="T19" s="12">
        <f t="shared" si="5"/>
        <v>12237.261599999998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</row>
    <row r="20" spans="1:157" x14ac:dyDescent="0.2">
      <c r="A20" s="30" t="s">
        <v>22</v>
      </c>
      <c r="B20" s="30"/>
      <c r="C20" s="30"/>
      <c r="D20" s="31">
        <f>SUM(D8:D19)</f>
        <v>341461.31</v>
      </c>
      <c r="E20" s="31">
        <f>SUM(E8:E19)</f>
        <v>122283.71999999999</v>
      </c>
      <c r="F20" s="32">
        <f>SUM(F7:F19)</f>
        <v>254373.81</v>
      </c>
      <c r="G20" s="31">
        <f t="shared" ref="G20:S20" si="6">SUM(G8:G19)</f>
        <v>13912.350900000001</v>
      </c>
      <c r="H20" s="31">
        <f t="shared" si="6"/>
        <v>27824.701800000003</v>
      </c>
      <c r="I20" s="31">
        <f t="shared" si="6"/>
        <v>40671</v>
      </c>
      <c r="J20" s="31">
        <f t="shared" si="6"/>
        <v>0</v>
      </c>
      <c r="K20" s="31">
        <f t="shared" si="6"/>
        <v>50734</v>
      </c>
      <c r="L20" s="31">
        <f t="shared" si="6"/>
        <v>26699.519999999993</v>
      </c>
      <c r="M20" s="31">
        <f t="shared" si="6"/>
        <v>115836</v>
      </c>
      <c r="N20" s="31">
        <f t="shared" si="6"/>
        <v>0</v>
      </c>
      <c r="O20" s="31">
        <f t="shared" si="6"/>
        <v>50874</v>
      </c>
      <c r="P20" s="31">
        <f t="shared" si="6"/>
        <v>6800</v>
      </c>
      <c r="Q20" s="31">
        <f t="shared" si="6"/>
        <v>6480</v>
      </c>
      <c r="R20" s="31">
        <f t="shared" si="6"/>
        <v>69561.754499999995</v>
      </c>
      <c r="S20" s="31">
        <f t="shared" si="6"/>
        <v>409393.32719999994</v>
      </c>
      <c r="T20" s="19">
        <f>F20-S20</f>
        <v>-155019.51719999994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</row>
    <row r="21" spans="1:157" x14ac:dyDescent="0.2"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</row>
    <row r="22" spans="1:157" x14ac:dyDescent="0.2">
      <c r="A22" s="39"/>
      <c r="B22" s="39"/>
      <c r="C22" s="39"/>
      <c r="D22" s="41"/>
      <c r="E22" s="41"/>
      <c r="F22" s="41"/>
      <c r="G22" s="42"/>
      <c r="H22" s="42"/>
      <c r="I22" s="41"/>
      <c r="J22" s="41"/>
      <c r="K22" s="41"/>
      <c r="L22" s="43"/>
      <c r="M22" s="39"/>
      <c r="N22" s="39"/>
      <c r="O22" s="39"/>
      <c r="P22" s="39"/>
      <c r="Q22" s="39"/>
      <c r="R22" s="4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</row>
    <row r="23" spans="1:157" s="20" customFormat="1" x14ac:dyDescent="0.2">
      <c r="A23" s="45"/>
      <c r="B23" s="45"/>
      <c r="C23" s="45"/>
      <c r="D23" s="41"/>
      <c r="E23" s="41"/>
      <c r="F23" s="41"/>
      <c r="G23" s="41"/>
      <c r="H23" s="41"/>
      <c r="I23" s="41"/>
      <c r="J23" s="41"/>
      <c r="K23" s="41"/>
      <c r="L23" s="4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</row>
    <row r="24" spans="1:157" x14ac:dyDescent="0.2">
      <c r="A24" s="45"/>
      <c r="B24" s="45"/>
      <c r="C24" s="45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</row>
    <row r="25" spans="1:157" x14ac:dyDescent="0.2">
      <c r="G25" s="37" t="s">
        <v>75</v>
      </c>
      <c r="H25" s="37"/>
      <c r="I25" s="37" t="s">
        <v>74</v>
      </c>
      <c r="J25" s="37"/>
      <c r="L25" s="33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</row>
    <row r="26" spans="1:157" x14ac:dyDescent="0.2"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</row>
    <row r="27" spans="1:157" x14ac:dyDescent="0.2"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</row>
    <row r="28" spans="1:157" ht="14.25" x14ac:dyDescent="0.2">
      <c r="H28" s="34" t="s">
        <v>18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</row>
    <row r="29" spans="1:157" x14ac:dyDescent="0.2"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</row>
    <row r="33" spans="4:21" x14ac:dyDescent="0.2">
      <c r="D33" s="58" t="s">
        <v>52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4:21" x14ac:dyDescent="0.2">
      <c r="D34" s="19" t="s">
        <v>26</v>
      </c>
      <c r="E34" s="49" t="s">
        <v>27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20" t="s">
        <v>28</v>
      </c>
      <c r="S34" s="20" t="s">
        <v>29</v>
      </c>
      <c r="T34" s="20" t="s">
        <v>30</v>
      </c>
    </row>
    <row r="35" spans="4:21" x14ac:dyDescent="0.2">
      <c r="D35" s="26" t="s">
        <v>33</v>
      </c>
      <c r="E35" s="52" t="s">
        <v>36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20" t="s">
        <v>43</v>
      </c>
      <c r="S35" s="20">
        <v>0.08</v>
      </c>
      <c r="T35" s="20"/>
    </row>
    <row r="36" spans="4:21" x14ac:dyDescent="0.2">
      <c r="D36" s="21" t="s">
        <v>32</v>
      </c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22" t="s">
        <v>39</v>
      </c>
      <c r="S36" s="22"/>
      <c r="T36" s="28">
        <v>0.76700000000000002</v>
      </c>
      <c r="U36" t="s">
        <v>54</v>
      </c>
    </row>
    <row r="37" spans="4:21" x14ac:dyDescent="0.2">
      <c r="D37" s="26" t="s">
        <v>33</v>
      </c>
      <c r="E37" s="52" t="s">
        <v>55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20" t="s">
        <v>43</v>
      </c>
      <c r="S37" s="20">
        <v>0.05</v>
      </c>
      <c r="T37" s="20"/>
    </row>
    <row r="38" spans="4:21" x14ac:dyDescent="0.2">
      <c r="D38" s="26"/>
      <c r="E38" s="52" t="s">
        <v>56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20" t="s">
        <v>43</v>
      </c>
      <c r="S38" s="20">
        <v>0.05</v>
      </c>
      <c r="T38" s="20"/>
    </row>
    <row r="39" spans="4:21" x14ac:dyDescent="0.2">
      <c r="D39" s="21" t="s">
        <v>32</v>
      </c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22" t="s">
        <v>39</v>
      </c>
      <c r="S39" s="22"/>
      <c r="T39" s="28">
        <v>5.5019999999999998</v>
      </c>
      <c r="U39" t="s">
        <v>38</v>
      </c>
    </row>
    <row r="40" spans="4:21" x14ac:dyDescent="0.2">
      <c r="D40" s="26" t="s">
        <v>33</v>
      </c>
      <c r="E40" s="52" t="s">
        <v>58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20" t="s">
        <v>44</v>
      </c>
      <c r="S40" s="20">
        <v>0.03</v>
      </c>
      <c r="T40" s="20"/>
    </row>
    <row r="41" spans="4:21" x14ac:dyDescent="0.2">
      <c r="D41" s="26"/>
      <c r="E41" s="52" t="s">
        <v>59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20" t="s">
        <v>44</v>
      </c>
      <c r="S41" s="20">
        <v>0.02</v>
      </c>
      <c r="T41" s="20"/>
    </row>
    <row r="42" spans="4:21" x14ac:dyDescent="0.2">
      <c r="D42" s="26"/>
      <c r="E42" s="52" t="s">
        <v>60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20" t="s">
        <v>37</v>
      </c>
      <c r="S42" s="20">
        <v>0.37</v>
      </c>
      <c r="T42" s="20"/>
    </row>
    <row r="43" spans="4:21" x14ac:dyDescent="0.2">
      <c r="D43" s="21" t="s">
        <v>32</v>
      </c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22" t="s">
        <v>39</v>
      </c>
      <c r="S43" s="22"/>
      <c r="T43" s="28">
        <v>5.181</v>
      </c>
    </row>
    <row r="44" spans="4:21" x14ac:dyDescent="0.2">
      <c r="D44" s="26" t="s">
        <v>57</v>
      </c>
      <c r="E44" s="52" t="s">
        <v>56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20" t="s">
        <v>43</v>
      </c>
      <c r="S44" s="20">
        <v>0.02</v>
      </c>
      <c r="T44" s="20"/>
    </row>
    <row r="45" spans="4:21" x14ac:dyDescent="0.2">
      <c r="D45" s="26"/>
      <c r="E45" s="52" t="s">
        <v>62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20" t="s">
        <v>43</v>
      </c>
      <c r="S45" s="20">
        <v>0.02</v>
      </c>
      <c r="T45" s="20"/>
    </row>
    <row r="46" spans="4:21" x14ac:dyDescent="0.2">
      <c r="D46" s="21" t="s">
        <v>32</v>
      </c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22" t="s">
        <v>39</v>
      </c>
      <c r="S46" s="22"/>
      <c r="T46" s="29">
        <v>2.2309999999999999</v>
      </c>
      <c r="U46" t="s">
        <v>61</v>
      </c>
    </row>
    <row r="47" spans="4:21" x14ac:dyDescent="0.2">
      <c r="D47" s="26" t="s">
        <v>35</v>
      </c>
      <c r="E47" s="52" t="s">
        <v>64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20" t="s">
        <v>43</v>
      </c>
      <c r="S47" s="20">
        <v>1.9E-2</v>
      </c>
      <c r="T47" s="20"/>
    </row>
    <row r="48" spans="4:21" x14ac:dyDescent="0.2">
      <c r="D48" s="26"/>
      <c r="E48" s="52" t="s">
        <v>65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20" t="s">
        <v>66</v>
      </c>
      <c r="S48" s="20">
        <v>0.01</v>
      </c>
      <c r="T48" s="20"/>
    </row>
    <row r="49" spans="4:21" x14ac:dyDescent="0.2">
      <c r="D49" s="21" t="s">
        <v>32</v>
      </c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22" t="s">
        <v>39</v>
      </c>
      <c r="S49" s="22"/>
      <c r="T49" s="29">
        <v>0.998</v>
      </c>
      <c r="U49" t="s">
        <v>63</v>
      </c>
    </row>
    <row r="50" spans="4:21" x14ac:dyDescent="0.2">
      <c r="D50" s="26" t="s">
        <v>34</v>
      </c>
      <c r="E50" s="52" t="s">
        <v>36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20" t="s">
        <v>43</v>
      </c>
      <c r="S50" s="20">
        <v>0.08</v>
      </c>
      <c r="T50" s="20"/>
    </row>
    <row r="51" spans="4:21" x14ac:dyDescent="0.2">
      <c r="D51" s="21" t="s">
        <v>32</v>
      </c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22" t="s">
        <v>39</v>
      </c>
      <c r="S51" s="22"/>
      <c r="T51" s="35">
        <v>0.76800000000000002</v>
      </c>
      <c r="U51" t="s">
        <v>67</v>
      </c>
    </row>
    <row r="52" spans="4:21" x14ac:dyDescent="0.2">
      <c r="D52" s="26" t="s">
        <v>34</v>
      </c>
      <c r="E52" s="52" t="s">
        <v>68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20" t="s">
        <v>43</v>
      </c>
      <c r="S52" s="20">
        <v>0.08</v>
      </c>
      <c r="T52" s="20"/>
    </row>
    <row r="53" spans="4:21" x14ac:dyDescent="0.2">
      <c r="D53" s="26"/>
      <c r="E53" s="52" t="s">
        <v>69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20" t="s">
        <v>43</v>
      </c>
      <c r="S53" s="20">
        <v>0.08</v>
      </c>
      <c r="T53" s="20"/>
    </row>
    <row r="54" spans="4:21" x14ac:dyDescent="0.2">
      <c r="D54" s="21" t="s">
        <v>32</v>
      </c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22" t="s">
        <v>39</v>
      </c>
      <c r="S54" s="22"/>
      <c r="T54" s="35">
        <v>9.5069999999999997</v>
      </c>
    </row>
    <row r="55" spans="4:21" x14ac:dyDescent="0.2">
      <c r="D55" s="26" t="s">
        <v>42</v>
      </c>
      <c r="E55" s="52" t="s">
        <v>70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  <c r="R55" s="20" t="s">
        <v>49</v>
      </c>
      <c r="S55" s="20">
        <v>2</v>
      </c>
      <c r="T55" s="20"/>
    </row>
    <row r="56" spans="4:21" x14ac:dyDescent="0.2">
      <c r="D56" s="21" t="s">
        <v>32</v>
      </c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22" t="s">
        <v>39</v>
      </c>
      <c r="S56" s="22"/>
      <c r="T56" s="36">
        <v>15.336</v>
      </c>
    </row>
    <row r="57" spans="4:21" x14ac:dyDescent="0.2">
      <c r="D57" s="26" t="s">
        <v>42</v>
      </c>
      <c r="E57" s="52" t="s">
        <v>71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20" t="s">
        <v>43</v>
      </c>
      <c r="S57" s="20">
        <v>2.2999999999999998</v>
      </c>
      <c r="T57" s="20"/>
    </row>
    <row r="58" spans="4:21" x14ac:dyDescent="0.2">
      <c r="D58" s="21" t="s">
        <v>32</v>
      </c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22" t="s">
        <v>39</v>
      </c>
      <c r="S58" s="22"/>
      <c r="T58" s="36">
        <v>6.2089999999999996</v>
      </c>
    </row>
    <row r="59" spans="4:21" x14ac:dyDescent="0.2">
      <c r="D59" s="26" t="s">
        <v>42</v>
      </c>
      <c r="E59" s="52" t="s">
        <v>73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  <c r="R59" s="20" t="s">
        <v>72</v>
      </c>
      <c r="S59" s="20">
        <v>6.2</v>
      </c>
      <c r="T59" s="20"/>
    </row>
    <row r="60" spans="4:21" x14ac:dyDescent="0.2">
      <c r="D60" s="21" t="s">
        <v>32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  <c r="R60" s="22" t="s">
        <v>39</v>
      </c>
      <c r="S60" s="22"/>
      <c r="T60" s="36">
        <v>3.1920000000000002</v>
      </c>
    </row>
    <row r="61" spans="4:21" x14ac:dyDescent="0.2">
      <c r="D61" s="26" t="s">
        <v>46</v>
      </c>
      <c r="E61" s="52" t="s">
        <v>36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  <c r="R61" s="20" t="s">
        <v>43</v>
      </c>
      <c r="S61" s="20">
        <v>0.08</v>
      </c>
      <c r="T61" s="20"/>
    </row>
    <row r="62" spans="4:21" x14ac:dyDescent="0.2">
      <c r="D62" s="21" t="s">
        <v>32</v>
      </c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8"/>
      <c r="R62" s="22" t="s">
        <v>39</v>
      </c>
      <c r="S62" s="22"/>
      <c r="T62" s="38">
        <v>0.77100000000000002</v>
      </c>
    </row>
    <row r="63" spans="4:21" x14ac:dyDescent="0.2">
      <c r="D63" s="26" t="s">
        <v>46</v>
      </c>
      <c r="E63" s="52" t="s">
        <v>77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4"/>
      <c r="R63" s="20" t="s">
        <v>76</v>
      </c>
      <c r="S63" s="20">
        <v>0.02</v>
      </c>
      <c r="T63" s="20"/>
    </row>
    <row r="64" spans="4:21" x14ac:dyDescent="0.2">
      <c r="D64" s="21" t="s">
        <v>32</v>
      </c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8"/>
      <c r="R64" s="22" t="s">
        <v>39</v>
      </c>
      <c r="S64" s="22"/>
      <c r="T64" s="38">
        <v>0.27200000000000002</v>
      </c>
    </row>
  </sheetData>
  <mergeCells count="38">
    <mergeCell ref="E49:Q49"/>
    <mergeCell ref="E45:Q45"/>
    <mergeCell ref="E47:Q47"/>
    <mergeCell ref="E63:Q63"/>
    <mergeCell ref="E64:Q64"/>
    <mergeCell ref="E61:Q61"/>
    <mergeCell ref="E62:Q62"/>
    <mergeCell ref="E59:Q59"/>
    <mergeCell ref="E60:Q60"/>
    <mergeCell ref="E57:Q57"/>
    <mergeCell ref="E58:Q58"/>
    <mergeCell ref="E56:Q56"/>
    <mergeCell ref="E54:Q54"/>
    <mergeCell ref="E53:Q53"/>
    <mergeCell ref="E55:Q55"/>
    <mergeCell ref="E52:Q52"/>
    <mergeCell ref="E34:Q34"/>
    <mergeCell ref="E46:Q46"/>
    <mergeCell ref="E51:Q51"/>
    <mergeCell ref="E38:Q38"/>
    <mergeCell ref="E35:Q35"/>
    <mergeCell ref="E36:Q36"/>
    <mergeCell ref="E37:Q37"/>
    <mergeCell ref="E41:Q41"/>
    <mergeCell ref="E39:Q39"/>
    <mergeCell ref="E40:Q40"/>
    <mergeCell ref="E50:Q50"/>
    <mergeCell ref="E48:Q48"/>
    <mergeCell ref="E42:Q42"/>
    <mergeCell ref="E44:Q44"/>
    <mergeCell ref="E43:Q43"/>
    <mergeCell ref="D33:S33"/>
    <mergeCell ref="A4:T4"/>
    <mergeCell ref="D5:F5"/>
    <mergeCell ref="H5:H6"/>
    <mergeCell ref="L5:R5"/>
    <mergeCell ref="S5:S6"/>
    <mergeCell ref="M6:N6"/>
  </mergeCells>
  <phoneticPr fontId="2" type="noConversion"/>
  <pageMargins left="0.4" right="0.27" top="1" bottom="1" header="0.5" footer="0.5"/>
  <pageSetup paperSize="9" scale="84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2013-10-22T06:42:32Z</cp:lastPrinted>
  <dcterms:created xsi:type="dcterms:W3CDTF">2007-02-04T12:22:59Z</dcterms:created>
  <dcterms:modified xsi:type="dcterms:W3CDTF">2014-02-13T06:21:54Z</dcterms:modified>
</cp:coreProperties>
</file>