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'2013'!$D$31:$T$82</definedName>
  </definedNames>
  <calcPr fullCalcOnLoad="1" refMode="R1C1"/>
</workbook>
</file>

<file path=xl/comments1.xml><?xml version="1.0" encoding="utf-8"?>
<comments xmlns="http://schemas.openxmlformats.org/spreadsheetml/2006/main">
  <authors>
    <author>user1</author>
  </authors>
  <commentList>
    <comment ref="M8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400 руб. заделка ящиков</t>
        </r>
      </text>
    </comment>
    <comment ref="M10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инж.освид. Узла учета воды</t>
        </r>
      </text>
    </comment>
    <comment ref="M15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1300-спил пенька
942-вызо авар.теплосеть
414р.-освид.узла учета воды</t>
        </r>
      </text>
    </comment>
  </commentList>
</comments>
</file>

<file path=xl/sharedStrings.xml><?xml version="1.0" encoding="utf-8"?>
<sst xmlns="http://schemas.openxmlformats.org/spreadsheetml/2006/main" count="162" uniqueCount="82">
  <si>
    <t>Площадь</t>
  </si>
  <si>
    <t xml:space="preserve">Кол-во </t>
  </si>
  <si>
    <t xml:space="preserve">Поступило </t>
  </si>
  <si>
    <t xml:space="preserve">Оплата </t>
  </si>
  <si>
    <t>Налог</t>
  </si>
  <si>
    <t>Содержание</t>
  </si>
  <si>
    <t>Электро-</t>
  </si>
  <si>
    <t>Ремонт</t>
  </si>
  <si>
    <t>Расходы</t>
  </si>
  <si>
    <t xml:space="preserve">Остаток </t>
  </si>
  <si>
    <t>кап.рем</t>
  </si>
  <si>
    <t>квар.</t>
  </si>
  <si>
    <t>содержание</t>
  </si>
  <si>
    <t>ремонт</t>
  </si>
  <si>
    <t>итого</t>
  </si>
  <si>
    <t>ЕРКЦ</t>
  </si>
  <si>
    <t>тер., под.</t>
  </si>
  <si>
    <t>энергия</t>
  </si>
  <si>
    <t xml:space="preserve">сметы </t>
  </si>
  <si>
    <t>договор ав.</t>
  </si>
  <si>
    <t>Разное</t>
  </si>
  <si>
    <t>теплос</t>
  </si>
  <si>
    <t>эксплуатац</t>
  </si>
  <si>
    <t>на конец</t>
  </si>
  <si>
    <t>Ген. директор ООО "Георгиевск - ЖЭУ"                                            Никишина И.М.</t>
  </si>
  <si>
    <t>июль</t>
  </si>
  <si>
    <t>Месяц</t>
  </si>
  <si>
    <t>Наименование работ</t>
  </si>
  <si>
    <t>ед. изм.</t>
  </si>
  <si>
    <t>кол-во</t>
  </si>
  <si>
    <t>ИТОГО</t>
  </si>
  <si>
    <t>тыс.руб.</t>
  </si>
  <si>
    <t>июнь</t>
  </si>
  <si>
    <t>Быстров</t>
  </si>
  <si>
    <t>Природа</t>
  </si>
  <si>
    <t>август</t>
  </si>
  <si>
    <t>Очистка канализационной сети: внутренней</t>
  </si>
  <si>
    <t>100м</t>
  </si>
  <si>
    <t>сентябрь</t>
  </si>
  <si>
    <t>Прокладка трубопроводов канализации из полиэтиленовых труб высокой плотности диаметром: 100мм</t>
  </si>
  <si>
    <t>100м тр-да</t>
  </si>
  <si>
    <t>октябрь</t>
  </si>
  <si>
    <t>1 кв.</t>
  </si>
  <si>
    <t>2 кв.</t>
  </si>
  <si>
    <t>3 кв.</t>
  </si>
  <si>
    <t>ноябрь</t>
  </si>
  <si>
    <t>4 кв.</t>
  </si>
  <si>
    <t>декабрь</t>
  </si>
  <si>
    <t>январь</t>
  </si>
  <si>
    <t>Учет доходов и расходов по Октябрьская 69 на 2013 год</t>
  </si>
  <si>
    <t>Перечень выполненных работ по сметам за 2013 год по дому Октябрьская 69</t>
  </si>
  <si>
    <t>февраль</t>
  </si>
  <si>
    <t>март</t>
  </si>
  <si>
    <t>подвал</t>
  </si>
  <si>
    <t>Разборка трубопроводов из чугунных канализационных труб диаметром: 100мм</t>
  </si>
  <si>
    <t>заземление</t>
  </si>
  <si>
    <t>Провод двух- и трехжильный с разделительным основанием по стенам и потолкам, прокладываемый по основаниям: кирпичным</t>
  </si>
  <si>
    <t>апрель</t>
  </si>
  <si>
    <t>кв.3</t>
  </si>
  <si>
    <t>Прокладка трубопроводов канализации из полиэтиленовых труб высокой плотности диаметром: 50мм</t>
  </si>
  <si>
    <t>Разборка трубопроводов из чугунных канализационных труб диаметром: 50мм</t>
  </si>
  <si>
    <t>кв.4</t>
  </si>
  <si>
    <t>Установка вентилей, задижек, затворов, клапанов обратных, кранов проходных на трубопроводах из стальных труб диаметром: до 25мм</t>
  </si>
  <si>
    <t>1шт</t>
  </si>
  <si>
    <t>х/у подвал</t>
  </si>
  <si>
    <t>май</t>
  </si>
  <si>
    <t>Установка счетчиков (водомеров) диаметром: до 40мм</t>
  </si>
  <si>
    <t>1 счетчик</t>
  </si>
  <si>
    <t>Прокладка трубопроводов канализации из полиэтиленовых труб высокой плотности диаметром: 110мм</t>
  </si>
  <si>
    <t>Пробивка отверстий в кирпичных стена ля водогазопроводных труб вручную при толщине стен: в 1,5 кирпича</t>
  </si>
  <si>
    <t>100отв.</t>
  </si>
  <si>
    <t>Заделка отверстий в местах прохода трубопроводов в перекрытиях прохода трубопроводов: в перекрытиях оштукатуренных</t>
  </si>
  <si>
    <t>Гидравлическое испытание трубопровоов систем отопления, водопровода и горячего водоснабжения диаметром: до 100мм</t>
  </si>
  <si>
    <t>Выкашивание газонов: газонокосилкой</t>
  </si>
  <si>
    <t xml:space="preserve">100м2 </t>
  </si>
  <si>
    <t>Разборка трубопроводов из водогазопроводных труб диаметром: до 32 мм</t>
  </si>
  <si>
    <t>Прокладка трубопроводов водоснабжения из напорных полиэтиленовых труб низкого давления среднего типа наружным диаметром: 32мм</t>
  </si>
  <si>
    <t>отопление</t>
  </si>
  <si>
    <t>Установка блоков в наружных проемах: в каменных стенах, площадь проема до 3 м2 (приямки)</t>
  </si>
  <si>
    <t>Ремонт штукатурки гладких фасадов по камню и бетону с земли и лесов: цементно-известковым раствором площадью отдельных мест до 5м2 толщиной слоя до 20мм</t>
  </si>
  <si>
    <t>Бетонирование (с помощью бадьи) конструкций: наружных стен толщиной до 10 см</t>
  </si>
  <si>
    <t>10м2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</si>
</sst>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0"/>
    <numFmt numFmtId="182" formatCode="0.0"/>
    <numFmt numFmtId="183" formatCode="#,##0.00&quot;р.&quot;"/>
  </numFmts>
  <fonts count="42"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180" fontId="1" fillId="34" borderId="12" xfId="0" applyNumberFormat="1" applyFont="1" applyFill="1" applyBorder="1" applyAlignment="1">
      <alignment/>
    </xf>
    <xf numFmtId="180" fontId="1" fillId="35" borderId="12" xfId="0" applyNumberFormat="1" applyFont="1" applyFill="1" applyBorder="1" applyAlignment="1">
      <alignment/>
    </xf>
    <xf numFmtId="180" fontId="1" fillId="35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80" fontId="1" fillId="34" borderId="14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181" fontId="0" fillId="0" borderId="12" xfId="0" applyNumberForma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33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36" borderId="12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38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180" fontId="4" fillId="38" borderId="12" xfId="0" applyNumberFormat="1" applyFont="1" applyFill="1" applyBorder="1" applyAlignment="1">
      <alignment/>
    </xf>
    <xf numFmtId="2" fontId="4" fillId="38" borderId="12" xfId="0" applyNumberFormat="1" applyFont="1" applyFill="1" applyBorder="1" applyAlignment="1">
      <alignment/>
    </xf>
    <xf numFmtId="0" fontId="3" fillId="4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180" fontId="0" fillId="36" borderId="0" xfId="0" applyNumberFormat="1" applyFill="1" applyAlignment="1">
      <alignment/>
    </xf>
    <xf numFmtId="0" fontId="3" fillId="42" borderId="12" xfId="0" applyFont="1" applyFill="1" applyBorder="1" applyAlignment="1">
      <alignment/>
    </xf>
    <xf numFmtId="0" fontId="3" fillId="43" borderId="12" xfId="0" applyFont="1" applyFill="1" applyBorder="1" applyAlignment="1">
      <alignment/>
    </xf>
    <xf numFmtId="0" fontId="3" fillId="44" borderId="12" xfId="0" applyFont="1" applyFill="1" applyBorder="1" applyAlignment="1">
      <alignment/>
    </xf>
    <xf numFmtId="180" fontId="0" fillId="0" borderId="0" xfId="0" applyNumberFormat="1" applyFill="1" applyBorder="1" applyAlignment="1">
      <alignment horizontal="center"/>
    </xf>
    <xf numFmtId="2" fontId="2" fillId="39" borderId="0" xfId="0" applyNumberFormat="1" applyFont="1" applyFill="1" applyAlignment="1">
      <alignment horizontal="center"/>
    </xf>
    <xf numFmtId="2" fontId="0" fillId="0" borderId="1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6" borderId="11" xfId="0" applyNumberFormat="1" applyFill="1" applyBorder="1" applyAlignment="1">
      <alignment horizontal="left"/>
    </xf>
    <xf numFmtId="2" fontId="0" fillId="36" borderId="18" xfId="0" applyNumberFormat="1" applyFill="1" applyBorder="1" applyAlignment="1">
      <alignment horizontal="left"/>
    </xf>
    <xf numFmtId="2" fontId="0" fillId="36" borderId="19" xfId="0" applyNumberForma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left" wrapText="1"/>
    </xf>
    <xf numFmtId="2" fontId="0" fillId="0" borderId="18" xfId="0" applyNumberFormat="1" applyFill="1" applyBorder="1" applyAlignment="1">
      <alignment horizontal="left" wrapText="1"/>
    </xf>
    <xf numFmtId="2" fontId="0" fillId="0" borderId="19" xfId="0" applyNumberFormat="1" applyFill="1" applyBorder="1" applyAlignment="1">
      <alignment horizontal="left" wrapText="1"/>
    </xf>
    <xf numFmtId="2" fontId="0" fillId="0" borderId="11" xfId="0" applyNumberFormat="1" applyFill="1" applyBorder="1" applyAlignment="1">
      <alignment horizontal="left"/>
    </xf>
    <xf numFmtId="2" fontId="0" fillId="0" borderId="18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 horizontal="left" wrapText="1"/>
    </xf>
    <xf numFmtId="2" fontId="0" fillId="36" borderId="11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J84"/>
  <sheetViews>
    <sheetView tabSelected="1" zoomScalePageLayoutView="0" workbookViewId="0" topLeftCell="A1">
      <selection activeCell="E26" sqref="E26:Q26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2.421875" style="0" customWidth="1"/>
    <col min="4" max="4" width="10.28125" style="0" customWidth="1"/>
    <col min="5" max="5" width="9.421875" style="0" bestFit="1" customWidth="1"/>
    <col min="6" max="6" width="9.57421875" style="0" bestFit="1" customWidth="1"/>
    <col min="7" max="8" width="9.28125" style="0" bestFit="1" customWidth="1"/>
    <col min="9" max="9" width="9.421875" style="0" bestFit="1" customWidth="1"/>
    <col min="10" max="15" width="9.28125" style="0" bestFit="1" customWidth="1"/>
    <col min="16" max="16" width="11.140625" style="0" customWidth="1"/>
    <col min="17" max="17" width="9.57421875" style="0" bestFit="1" customWidth="1"/>
    <col min="18" max="18" width="10.421875" style="0" customWidth="1"/>
  </cols>
  <sheetData>
    <row r="4" spans="1:18" ht="12.75">
      <c r="A4" s="60" t="s">
        <v>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"/>
    </row>
    <row r="5" spans="1:18" ht="12.75">
      <c r="A5" s="2"/>
      <c r="B5" s="3" t="s">
        <v>0</v>
      </c>
      <c r="C5" s="4" t="s">
        <v>1</v>
      </c>
      <c r="D5" s="61" t="s">
        <v>2</v>
      </c>
      <c r="E5" s="62"/>
      <c r="F5" s="63"/>
      <c r="G5" s="5" t="s">
        <v>3</v>
      </c>
      <c r="H5" s="64" t="s">
        <v>4</v>
      </c>
      <c r="I5" s="5" t="s">
        <v>5</v>
      </c>
      <c r="J5" s="6" t="s">
        <v>6</v>
      </c>
      <c r="K5" s="7" t="s">
        <v>7</v>
      </c>
      <c r="L5" s="7" t="s">
        <v>5</v>
      </c>
      <c r="M5" s="62"/>
      <c r="N5" s="62"/>
      <c r="O5" s="63"/>
      <c r="P5" s="64" t="s">
        <v>8</v>
      </c>
      <c r="Q5" s="6" t="s">
        <v>9</v>
      </c>
      <c r="R5" s="8" t="s">
        <v>10</v>
      </c>
    </row>
    <row r="6" spans="1:18" ht="13.5" thickBot="1">
      <c r="A6" s="2"/>
      <c r="B6" s="9"/>
      <c r="C6" s="10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65"/>
      <c r="I6" s="11" t="s">
        <v>16</v>
      </c>
      <c r="J6" s="11" t="s">
        <v>17</v>
      </c>
      <c r="K6" s="5" t="s">
        <v>18</v>
      </c>
      <c r="L6" s="13" t="s">
        <v>19</v>
      </c>
      <c r="M6" s="11" t="s">
        <v>20</v>
      </c>
      <c r="N6" s="11" t="s">
        <v>21</v>
      </c>
      <c r="O6" s="11" t="s">
        <v>22</v>
      </c>
      <c r="P6" s="65"/>
      <c r="Q6" s="9" t="s">
        <v>23</v>
      </c>
      <c r="R6" s="8"/>
    </row>
    <row r="7" spans="1:18" ht="13.5" thickBot="1">
      <c r="A7" s="2"/>
      <c r="B7" s="14">
        <v>463.3</v>
      </c>
      <c r="C7" s="15">
        <v>10</v>
      </c>
      <c r="D7" s="11"/>
      <c r="E7" s="21"/>
      <c r="F7" s="24">
        <v>96212.58</v>
      </c>
      <c r="G7" s="22"/>
      <c r="H7" s="12"/>
      <c r="I7" s="11"/>
      <c r="J7" s="11"/>
      <c r="K7" s="5"/>
      <c r="L7" s="13"/>
      <c r="M7" s="11"/>
      <c r="N7" s="11"/>
      <c r="O7" s="11"/>
      <c r="P7" s="12"/>
      <c r="Q7" s="9"/>
      <c r="R7" s="36">
        <v>2065</v>
      </c>
    </row>
    <row r="8" spans="1:18" ht="12.75">
      <c r="A8" s="14" t="s">
        <v>48</v>
      </c>
      <c r="B8" s="20"/>
      <c r="C8" s="20"/>
      <c r="D8" s="16">
        <f>2478.47+1207.2</f>
        <v>3685.67</v>
      </c>
      <c r="E8" s="16">
        <f>1652+804.8</f>
        <v>2456.8</v>
      </c>
      <c r="F8" s="23">
        <f aca="true" t="shared" si="0" ref="F8:F20">SUM(D8:E8)</f>
        <v>6142.47</v>
      </c>
      <c r="G8" s="17">
        <f aca="true" t="shared" si="1" ref="G8:G19">SUM(F8*0.03)</f>
        <v>184.2741</v>
      </c>
      <c r="H8" s="17">
        <f aca="true" t="shared" si="2" ref="H8:H21">SUM(F8*0.06)</f>
        <v>368.5482</v>
      </c>
      <c r="I8" s="18">
        <v>1580</v>
      </c>
      <c r="J8" s="17">
        <v>0</v>
      </c>
      <c r="K8" s="18">
        <v>0</v>
      </c>
      <c r="L8" s="18">
        <f aca="true" t="shared" si="3" ref="L8:L19">1.07*463.3</f>
        <v>495.73100000000005</v>
      </c>
      <c r="M8" s="18">
        <v>400</v>
      </c>
      <c r="N8" s="18">
        <v>0</v>
      </c>
      <c r="O8" s="18">
        <f aca="true" t="shared" si="4" ref="O8:O21">SUM(F8*0.1)</f>
        <v>614.2470000000001</v>
      </c>
      <c r="P8" s="18">
        <f aca="true" t="shared" si="5" ref="P8:P21">SUM(G8:O8)</f>
        <v>3642.8003</v>
      </c>
      <c r="Q8" s="29">
        <f>F8-P8</f>
        <v>2499.6697000000004</v>
      </c>
      <c r="R8" s="30">
        <f>413+201.2</f>
        <v>614.2</v>
      </c>
    </row>
    <row r="9" spans="1:18" ht="12.75">
      <c r="A9" s="14" t="s">
        <v>51</v>
      </c>
      <c r="B9" s="20"/>
      <c r="C9" s="20"/>
      <c r="D9" s="16">
        <v>2478</v>
      </c>
      <c r="E9" s="16">
        <v>1652</v>
      </c>
      <c r="F9" s="23">
        <f t="shared" si="0"/>
        <v>4130</v>
      </c>
      <c r="G9" s="17">
        <f t="shared" si="1"/>
        <v>123.89999999999999</v>
      </c>
      <c r="H9" s="17">
        <f t="shared" si="2"/>
        <v>247.79999999999998</v>
      </c>
      <c r="I9" s="18">
        <v>1580</v>
      </c>
      <c r="J9" s="17">
        <v>0</v>
      </c>
      <c r="K9" s="18">
        <f>7001+3431+407</f>
        <v>10839</v>
      </c>
      <c r="L9" s="18">
        <f t="shared" si="3"/>
        <v>495.73100000000005</v>
      </c>
      <c r="M9" s="18">
        <v>0</v>
      </c>
      <c r="N9" s="18">
        <v>0</v>
      </c>
      <c r="O9" s="18">
        <f t="shared" si="4"/>
        <v>413</v>
      </c>
      <c r="P9" s="18">
        <f t="shared" si="5"/>
        <v>13699.431</v>
      </c>
      <c r="Q9" s="29">
        <f aca="true" t="shared" si="6" ref="Q9:Q21">F9-P9</f>
        <v>-9569.431</v>
      </c>
      <c r="R9" s="30">
        <v>413</v>
      </c>
    </row>
    <row r="10" spans="1:18" ht="12.75">
      <c r="A10" s="14" t="s">
        <v>52</v>
      </c>
      <c r="B10" s="20"/>
      <c r="C10" s="20"/>
      <c r="D10" s="16">
        <f>2791.8+295.8+295.8</f>
        <v>3383.4000000000005</v>
      </c>
      <c r="E10" s="16">
        <f>1861.2+197.2+197.2</f>
        <v>2255.6</v>
      </c>
      <c r="F10" s="23">
        <f t="shared" si="0"/>
        <v>5639</v>
      </c>
      <c r="G10" s="17">
        <f t="shared" si="1"/>
        <v>169.17</v>
      </c>
      <c r="H10" s="17">
        <f t="shared" si="2"/>
        <v>338.34</v>
      </c>
      <c r="I10" s="18">
        <v>1580</v>
      </c>
      <c r="J10" s="17">
        <v>0</v>
      </c>
      <c r="K10" s="18">
        <f>1124+767+1065</f>
        <v>2956</v>
      </c>
      <c r="L10" s="18">
        <f t="shared" si="3"/>
        <v>495.73100000000005</v>
      </c>
      <c r="M10" s="18">
        <v>414.13</v>
      </c>
      <c r="N10" s="18">
        <v>0</v>
      </c>
      <c r="O10" s="18">
        <f t="shared" si="4"/>
        <v>563.9</v>
      </c>
      <c r="P10" s="18">
        <f t="shared" si="5"/>
        <v>6517.271</v>
      </c>
      <c r="Q10" s="29">
        <f t="shared" si="6"/>
        <v>-878.2709999999997</v>
      </c>
      <c r="R10" s="30">
        <f>465.3+49.3</f>
        <v>514.6</v>
      </c>
    </row>
    <row r="11" spans="1:18" ht="12.75">
      <c r="A11" s="14" t="s">
        <v>57</v>
      </c>
      <c r="B11" s="20"/>
      <c r="C11" s="20"/>
      <c r="D11" s="16">
        <f>846+1372.2+256.8</f>
        <v>2475</v>
      </c>
      <c r="E11" s="16">
        <f>564+914.8+171.2</f>
        <v>1650</v>
      </c>
      <c r="F11" s="23">
        <f t="shared" si="0"/>
        <v>4125</v>
      </c>
      <c r="G11" s="17">
        <f t="shared" si="1"/>
        <v>123.75</v>
      </c>
      <c r="H11" s="17">
        <f t="shared" si="2"/>
        <v>247.5</v>
      </c>
      <c r="I11" s="18">
        <v>1580</v>
      </c>
      <c r="J11" s="17">
        <v>0</v>
      </c>
      <c r="K11" s="18">
        <v>4942</v>
      </c>
      <c r="L11" s="18">
        <f t="shared" si="3"/>
        <v>495.73100000000005</v>
      </c>
      <c r="M11" s="18">
        <v>0</v>
      </c>
      <c r="N11" s="18">
        <v>0</v>
      </c>
      <c r="O11" s="18">
        <f t="shared" si="4"/>
        <v>412.5</v>
      </c>
      <c r="P11" s="18">
        <f t="shared" si="5"/>
        <v>7801.481</v>
      </c>
      <c r="Q11" s="29">
        <f t="shared" si="6"/>
        <v>-3676.4809999999998</v>
      </c>
      <c r="R11" s="30">
        <f>141+228.7</f>
        <v>369.7</v>
      </c>
    </row>
    <row r="12" spans="1:18" ht="12.75">
      <c r="A12" s="14" t="s">
        <v>65</v>
      </c>
      <c r="B12" s="20"/>
      <c r="C12" s="20"/>
      <c r="D12" s="16">
        <f>815.4+1409.4+342.4</f>
        <v>2567.2000000000003</v>
      </c>
      <c r="E12" s="16">
        <f>543.6+939.6+171.2</f>
        <v>1654.4</v>
      </c>
      <c r="F12" s="23">
        <f t="shared" si="0"/>
        <v>4221.6</v>
      </c>
      <c r="G12" s="17">
        <f t="shared" si="1"/>
        <v>126.64800000000001</v>
      </c>
      <c r="H12" s="17">
        <f t="shared" si="2"/>
        <v>253.29600000000002</v>
      </c>
      <c r="I12" s="18">
        <v>1580</v>
      </c>
      <c r="J12" s="17">
        <v>0</v>
      </c>
      <c r="K12" s="18">
        <v>0</v>
      </c>
      <c r="L12" s="18">
        <f t="shared" si="3"/>
        <v>495.73100000000005</v>
      </c>
      <c r="M12" s="18">
        <v>0</v>
      </c>
      <c r="N12" s="18">
        <v>0</v>
      </c>
      <c r="O12" s="18">
        <f t="shared" si="4"/>
        <v>422.1600000000001</v>
      </c>
      <c r="P12" s="18">
        <f t="shared" si="5"/>
        <v>2877.835</v>
      </c>
      <c r="Q12" s="29">
        <f t="shared" si="6"/>
        <v>1343.7650000000003</v>
      </c>
      <c r="R12" s="30">
        <f>135.9+191.7</f>
        <v>327.6</v>
      </c>
    </row>
    <row r="13" spans="1:18" ht="12.75">
      <c r="A13" s="14" t="s">
        <v>32</v>
      </c>
      <c r="B13" s="20"/>
      <c r="C13" s="20"/>
      <c r="D13" s="16">
        <f>1135.2+1076.4+171.2</f>
        <v>2382.8</v>
      </c>
      <c r="E13" s="16">
        <f>756.8+717.6+299.6</f>
        <v>1774</v>
      </c>
      <c r="F13" s="23">
        <f t="shared" si="0"/>
        <v>4156.8</v>
      </c>
      <c r="G13" s="17">
        <f t="shared" si="1"/>
        <v>124.70400000000001</v>
      </c>
      <c r="H13" s="17">
        <f t="shared" si="2"/>
        <v>249.40800000000002</v>
      </c>
      <c r="I13" s="18">
        <v>1580</v>
      </c>
      <c r="J13" s="17">
        <v>0</v>
      </c>
      <c r="K13" s="18">
        <v>0</v>
      </c>
      <c r="L13" s="18">
        <f t="shared" si="3"/>
        <v>495.73100000000005</v>
      </c>
      <c r="M13" s="18">
        <v>0</v>
      </c>
      <c r="N13" s="18">
        <v>0</v>
      </c>
      <c r="O13" s="18">
        <f t="shared" si="4"/>
        <v>415.68000000000006</v>
      </c>
      <c r="P13" s="18">
        <f t="shared" si="5"/>
        <v>2865.523</v>
      </c>
      <c r="Q13" s="29">
        <f t="shared" si="6"/>
        <v>1291.277</v>
      </c>
      <c r="R13" s="30">
        <f>189.2+179.4</f>
        <v>368.6</v>
      </c>
    </row>
    <row r="14" spans="1:18" ht="12.75">
      <c r="A14" s="14" t="s">
        <v>25</v>
      </c>
      <c r="B14" s="20"/>
      <c r="C14" s="20"/>
      <c r="D14" s="16">
        <f>556.8+1372.2+256.8</f>
        <v>2185.8</v>
      </c>
      <c r="E14" s="16">
        <f>371.2+914.8+214</f>
        <v>1500</v>
      </c>
      <c r="F14" s="23">
        <f t="shared" si="0"/>
        <v>3685.8</v>
      </c>
      <c r="G14" s="17">
        <f t="shared" si="1"/>
        <v>110.574</v>
      </c>
      <c r="H14" s="17">
        <f t="shared" si="2"/>
        <v>221.148</v>
      </c>
      <c r="I14" s="18">
        <v>1580</v>
      </c>
      <c r="J14" s="17">
        <v>0</v>
      </c>
      <c r="K14" s="18">
        <f>7598+31495+1861</f>
        <v>40954</v>
      </c>
      <c r="L14" s="18">
        <f t="shared" si="3"/>
        <v>495.73100000000005</v>
      </c>
      <c r="M14" s="18">
        <v>0</v>
      </c>
      <c r="N14" s="18">
        <v>0</v>
      </c>
      <c r="O14" s="18">
        <f t="shared" si="4"/>
        <v>368.58000000000004</v>
      </c>
      <c r="P14" s="18">
        <f t="shared" si="5"/>
        <v>43730.033</v>
      </c>
      <c r="Q14" s="29">
        <f t="shared" si="6"/>
        <v>-40044.233</v>
      </c>
      <c r="R14" s="30">
        <f>92.8+271.9</f>
        <v>364.7</v>
      </c>
    </row>
    <row r="15" spans="1:18" ht="12.75">
      <c r="A15" s="14" t="s">
        <v>35</v>
      </c>
      <c r="B15" s="20"/>
      <c r="C15" s="20"/>
      <c r="D15" s="16">
        <f>556.8+1372.2+256.8</f>
        <v>2185.8</v>
      </c>
      <c r="E15" s="16">
        <f>371.2+914.8</f>
        <v>1286</v>
      </c>
      <c r="F15" s="23">
        <f t="shared" si="0"/>
        <v>3471.8</v>
      </c>
      <c r="G15" s="17">
        <f t="shared" si="1"/>
        <v>104.154</v>
      </c>
      <c r="H15" s="17">
        <f t="shared" si="2"/>
        <v>208.308</v>
      </c>
      <c r="I15" s="18">
        <v>1580</v>
      </c>
      <c r="J15" s="17">
        <v>0</v>
      </c>
      <c r="K15" s="18">
        <v>2424</v>
      </c>
      <c r="L15" s="18">
        <f t="shared" si="3"/>
        <v>495.73100000000005</v>
      </c>
      <c r="M15" s="18">
        <f>1300+942+414</f>
        <v>2656</v>
      </c>
      <c r="N15" s="18">
        <v>0</v>
      </c>
      <c r="O15" s="18">
        <f t="shared" si="4"/>
        <v>347.18000000000006</v>
      </c>
      <c r="P15" s="18">
        <f t="shared" si="5"/>
        <v>7815.373</v>
      </c>
      <c r="Q15" s="29">
        <f t="shared" si="6"/>
        <v>-4343.572999999999</v>
      </c>
      <c r="R15" s="30">
        <f>92.8+228.7</f>
        <v>321.5</v>
      </c>
    </row>
    <row r="16" spans="1:18" ht="12.75">
      <c r="A16" s="14" t="s">
        <v>38</v>
      </c>
      <c r="B16" s="20"/>
      <c r="C16" s="20"/>
      <c r="D16" s="16">
        <f>2367.6+1372.2+256.8</f>
        <v>3996.6000000000004</v>
      </c>
      <c r="E16" s="16">
        <f>1578.4+914.8+428</f>
        <v>2921.2</v>
      </c>
      <c r="F16" s="23">
        <f t="shared" si="0"/>
        <v>6917.8</v>
      </c>
      <c r="G16" s="17">
        <f t="shared" si="1"/>
        <v>207.534</v>
      </c>
      <c r="H16" s="17">
        <f t="shared" si="2"/>
        <v>415.068</v>
      </c>
      <c r="I16" s="18">
        <v>1580</v>
      </c>
      <c r="J16" s="17">
        <v>0</v>
      </c>
      <c r="K16" s="18">
        <v>412</v>
      </c>
      <c r="L16" s="18">
        <f t="shared" si="3"/>
        <v>495.73100000000005</v>
      </c>
      <c r="M16" s="18">
        <v>0</v>
      </c>
      <c r="N16" s="18">
        <v>0</v>
      </c>
      <c r="O16" s="18">
        <f t="shared" si="4"/>
        <v>691.7800000000001</v>
      </c>
      <c r="P16" s="18">
        <f t="shared" si="5"/>
        <v>3802.1130000000003</v>
      </c>
      <c r="Q16" s="29">
        <f t="shared" si="6"/>
        <v>3115.687</v>
      </c>
      <c r="R16" s="30">
        <f>394.6+228.7</f>
        <v>623.3</v>
      </c>
    </row>
    <row r="17" spans="1:18" ht="12.75">
      <c r="A17" s="14" t="s">
        <v>41</v>
      </c>
      <c r="B17" s="20"/>
      <c r="C17" s="20"/>
      <c r="D17" s="16">
        <f>1135.2+1975.8+256.8</f>
        <v>3367.8</v>
      </c>
      <c r="E17" s="16">
        <f>756.8+1317.2+385.2</f>
        <v>2459.2</v>
      </c>
      <c r="F17" s="23">
        <f t="shared" si="0"/>
        <v>5827</v>
      </c>
      <c r="G17" s="17">
        <f t="shared" si="1"/>
        <v>174.81</v>
      </c>
      <c r="H17" s="17">
        <f t="shared" si="2"/>
        <v>349.62</v>
      </c>
      <c r="I17" s="18">
        <v>1580</v>
      </c>
      <c r="J17" s="17">
        <v>0</v>
      </c>
      <c r="K17" s="18">
        <f>2318+9561+7362+3221</f>
        <v>22462</v>
      </c>
      <c r="L17" s="18">
        <f t="shared" si="3"/>
        <v>495.73100000000005</v>
      </c>
      <c r="M17" s="18">
        <v>0</v>
      </c>
      <c r="N17" s="18">
        <v>0</v>
      </c>
      <c r="O17" s="18">
        <f t="shared" si="4"/>
        <v>582.7</v>
      </c>
      <c r="P17" s="18">
        <f t="shared" si="5"/>
        <v>25644.861</v>
      </c>
      <c r="Q17" s="29">
        <f t="shared" si="6"/>
        <v>-19817.861</v>
      </c>
      <c r="R17" s="30">
        <f>189.2+329.3</f>
        <v>518.5</v>
      </c>
    </row>
    <row r="18" spans="1:18" ht="12.75">
      <c r="A18" s="14" t="s">
        <v>45</v>
      </c>
      <c r="B18" s="20"/>
      <c r="C18" s="20"/>
      <c r="D18" s="16">
        <f>1111.8+1113+599.2</f>
        <v>2824</v>
      </c>
      <c r="E18" s="16">
        <f>741.2+742</f>
        <v>1483.2</v>
      </c>
      <c r="F18" s="23">
        <f t="shared" si="0"/>
        <v>4307.2</v>
      </c>
      <c r="G18" s="17">
        <f t="shared" si="1"/>
        <v>129.21599999999998</v>
      </c>
      <c r="H18" s="17">
        <f t="shared" si="2"/>
        <v>258.43199999999996</v>
      </c>
      <c r="I18" s="18">
        <v>1580</v>
      </c>
      <c r="J18" s="17">
        <v>0</v>
      </c>
      <c r="K18" s="18">
        <v>0</v>
      </c>
      <c r="L18" s="18">
        <f t="shared" si="3"/>
        <v>495.73100000000005</v>
      </c>
      <c r="M18" s="18">
        <v>0</v>
      </c>
      <c r="N18" s="18">
        <v>0</v>
      </c>
      <c r="O18" s="18">
        <f t="shared" si="4"/>
        <v>430.72</v>
      </c>
      <c r="P18" s="18">
        <f t="shared" si="5"/>
        <v>2894.099</v>
      </c>
      <c r="Q18" s="29">
        <f t="shared" si="6"/>
        <v>1413.1009999999997</v>
      </c>
      <c r="R18" s="30">
        <f>185.3+234.8+1498</f>
        <v>1918.1</v>
      </c>
    </row>
    <row r="19" spans="1:18" ht="12.75">
      <c r="A19" s="14" t="s">
        <v>47</v>
      </c>
      <c r="B19" s="20"/>
      <c r="C19" s="20"/>
      <c r="D19" s="16">
        <f>1074+1077+552.6</f>
        <v>2703.6</v>
      </c>
      <c r="E19" s="16">
        <f>716+718+368.4</f>
        <v>1802.4</v>
      </c>
      <c r="F19" s="23">
        <f t="shared" si="0"/>
        <v>4506</v>
      </c>
      <c r="G19" s="17">
        <f t="shared" si="1"/>
        <v>135.18</v>
      </c>
      <c r="H19" s="17">
        <f t="shared" si="2"/>
        <v>270.36</v>
      </c>
      <c r="I19" s="18">
        <v>1580</v>
      </c>
      <c r="J19" s="17">
        <v>0</v>
      </c>
      <c r="K19" s="18">
        <v>0</v>
      </c>
      <c r="L19" s="18">
        <f t="shared" si="3"/>
        <v>495.73100000000005</v>
      </c>
      <c r="M19" s="18">
        <v>0</v>
      </c>
      <c r="N19" s="18">
        <v>0</v>
      </c>
      <c r="O19" s="18">
        <f t="shared" si="4"/>
        <v>450.6</v>
      </c>
      <c r="P19" s="18">
        <f t="shared" si="5"/>
        <v>2931.871</v>
      </c>
      <c r="Q19" s="29">
        <f t="shared" si="6"/>
        <v>1574.129</v>
      </c>
      <c r="R19" s="30">
        <f>179+179.5+92.1</f>
        <v>450.6</v>
      </c>
    </row>
    <row r="20" spans="1:18" ht="12.75">
      <c r="A20" s="37" t="s">
        <v>33</v>
      </c>
      <c r="B20" s="38"/>
      <c r="C20" s="38"/>
      <c r="D20" s="16">
        <f>13270+26540+13270+26537</f>
        <v>79617</v>
      </c>
      <c r="E20" s="16">
        <v>0</v>
      </c>
      <c r="F20" s="23">
        <f t="shared" si="0"/>
        <v>79617</v>
      </c>
      <c r="G20" s="17">
        <v>0</v>
      </c>
      <c r="H20" s="17">
        <f t="shared" si="2"/>
        <v>4777.0199999999995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4"/>
        <v>7961.700000000001</v>
      </c>
      <c r="P20" s="18">
        <f t="shared" si="5"/>
        <v>12738.720000000001</v>
      </c>
      <c r="Q20" s="29">
        <f t="shared" si="6"/>
        <v>66878.28</v>
      </c>
      <c r="R20" s="30">
        <v>0</v>
      </c>
    </row>
    <row r="21" spans="1:18" ht="12.75">
      <c r="A21" s="37" t="s">
        <v>34</v>
      </c>
      <c r="B21" s="38"/>
      <c r="C21" s="38"/>
      <c r="D21" s="16">
        <f>2000+19804.42</f>
        <v>21804.42</v>
      </c>
      <c r="E21" s="16">
        <v>0</v>
      </c>
      <c r="F21" s="23">
        <f>D21+E21</f>
        <v>21804.42</v>
      </c>
      <c r="G21" s="17">
        <v>0</v>
      </c>
      <c r="H21" s="17">
        <f t="shared" si="2"/>
        <v>1308.2651999999998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4"/>
        <v>2180.442</v>
      </c>
      <c r="P21" s="18">
        <f t="shared" si="5"/>
        <v>3488.7072</v>
      </c>
      <c r="Q21" s="29">
        <f t="shared" si="6"/>
        <v>18315.712799999998</v>
      </c>
      <c r="R21" s="30">
        <v>0</v>
      </c>
    </row>
    <row r="22" spans="1:18" ht="12.75">
      <c r="A22" s="35" t="s">
        <v>14</v>
      </c>
      <c r="B22" s="35"/>
      <c r="C22" s="35"/>
      <c r="D22" s="39">
        <f>SUM(D8:D21)</f>
        <v>135657.09</v>
      </c>
      <c r="E22" s="39">
        <f>SUM(E8:E21)</f>
        <v>22894.800000000003</v>
      </c>
      <c r="F22" s="40">
        <f>SUM(F7:F21)</f>
        <v>254764.47000000003</v>
      </c>
      <c r="G22" s="39">
        <f aca="true" t="shared" si="7" ref="G22:P22">SUM(G8:G21)</f>
        <v>1713.9141000000002</v>
      </c>
      <c r="H22" s="39">
        <f t="shared" si="7"/>
        <v>9513.1134</v>
      </c>
      <c r="I22" s="39">
        <f t="shared" si="7"/>
        <v>18960</v>
      </c>
      <c r="J22" s="39">
        <f t="shared" si="7"/>
        <v>0</v>
      </c>
      <c r="K22" s="39">
        <f t="shared" si="7"/>
        <v>84989</v>
      </c>
      <c r="L22" s="39">
        <f t="shared" si="7"/>
        <v>5948.772</v>
      </c>
      <c r="M22" s="39">
        <f t="shared" si="7"/>
        <v>3470.13</v>
      </c>
      <c r="N22" s="39">
        <f t="shared" si="7"/>
        <v>0</v>
      </c>
      <c r="O22" s="39">
        <f t="shared" si="7"/>
        <v>15855.189000000002</v>
      </c>
      <c r="P22" s="39">
        <f t="shared" si="7"/>
        <v>140450.11849999998</v>
      </c>
      <c r="Q22" s="19">
        <f>F22-P22</f>
        <v>114314.35150000005</v>
      </c>
      <c r="R22" s="20">
        <f>SUM(R7:R21)</f>
        <v>8869.4</v>
      </c>
    </row>
    <row r="23" ht="12.75">
      <c r="R23" s="45">
        <f>R22*0.91</f>
        <v>8071.1539999999995</v>
      </c>
    </row>
    <row r="26" spans="5:17" ht="12.75">
      <c r="E26" s="49" t="s">
        <v>24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31" spans="4:19" ht="12.75">
      <c r="D31" s="50" t="s">
        <v>50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4:19" ht="12.75">
      <c r="D32" s="19" t="s">
        <v>26</v>
      </c>
      <c r="E32" s="54" t="s">
        <v>27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20" t="s">
        <v>28</v>
      </c>
      <c r="S32" s="20" t="s">
        <v>29</v>
      </c>
    </row>
    <row r="33" spans="4:19" ht="12.75">
      <c r="D33" s="25" t="s">
        <v>51</v>
      </c>
      <c r="E33" s="51" t="s">
        <v>54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20" t="s">
        <v>40</v>
      </c>
      <c r="S33" s="28">
        <v>0.065</v>
      </c>
    </row>
    <row r="34" spans="4:19" ht="12.75">
      <c r="D34" s="25"/>
      <c r="E34" s="51" t="s">
        <v>39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20" t="s">
        <v>40</v>
      </c>
      <c r="S34" s="28">
        <v>0.065</v>
      </c>
    </row>
    <row r="35" spans="4:20" ht="12.75">
      <c r="D35" s="26" t="s">
        <v>30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27" t="s">
        <v>31</v>
      </c>
      <c r="S35" s="41">
        <v>7.001</v>
      </c>
      <c r="T35" t="s">
        <v>53</v>
      </c>
    </row>
    <row r="36" spans="4:19" ht="12.75">
      <c r="D36" s="25" t="s">
        <v>51</v>
      </c>
      <c r="E36" s="51" t="s">
        <v>39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  <c r="R36" s="20" t="s">
        <v>40</v>
      </c>
      <c r="S36" s="28">
        <v>0.04</v>
      </c>
    </row>
    <row r="37" spans="4:19" ht="12.75">
      <c r="D37" s="26" t="s">
        <v>30</v>
      </c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27" t="s">
        <v>31</v>
      </c>
      <c r="S37" s="41">
        <v>3.431</v>
      </c>
    </row>
    <row r="38" spans="4:19" ht="12.75">
      <c r="D38" s="25" t="s">
        <v>51</v>
      </c>
      <c r="E38" s="51" t="s">
        <v>56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20" t="s">
        <v>37</v>
      </c>
      <c r="S38" s="19">
        <v>0.03</v>
      </c>
    </row>
    <row r="39" spans="4:20" ht="12.75">
      <c r="D39" s="26" t="s">
        <v>30</v>
      </c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  <c r="R39" s="27" t="s">
        <v>31</v>
      </c>
      <c r="S39" s="41">
        <v>0.407</v>
      </c>
      <c r="T39" t="s">
        <v>55</v>
      </c>
    </row>
    <row r="40" spans="4:19" ht="12.75">
      <c r="D40" s="42" t="s">
        <v>52</v>
      </c>
      <c r="E40" s="69" t="s">
        <v>59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43" t="s">
        <v>40</v>
      </c>
      <c r="S40" s="43">
        <v>0.02</v>
      </c>
    </row>
    <row r="41" spans="4:19" ht="12.75">
      <c r="D41" s="42"/>
      <c r="E41" s="69" t="s">
        <v>60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  <c r="R41" s="43" t="s">
        <v>40</v>
      </c>
      <c r="S41" s="43">
        <v>0.02</v>
      </c>
    </row>
    <row r="42" spans="4:20" ht="12.75">
      <c r="D42" s="26" t="s">
        <v>30</v>
      </c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27" t="s">
        <v>31</v>
      </c>
      <c r="S42" s="33">
        <v>1.124</v>
      </c>
      <c r="T42" t="s">
        <v>58</v>
      </c>
    </row>
    <row r="43" spans="4:19" ht="12.75">
      <c r="D43" s="42" t="s">
        <v>52</v>
      </c>
      <c r="E43" s="69" t="s">
        <v>36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43" t="s">
        <v>40</v>
      </c>
      <c r="S43" s="43">
        <v>0.08</v>
      </c>
    </row>
    <row r="44" spans="4:20" ht="12.75">
      <c r="D44" s="26" t="s">
        <v>30</v>
      </c>
      <c r="E44" s="7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27" t="s">
        <v>31</v>
      </c>
      <c r="S44" s="33">
        <v>0.767</v>
      </c>
      <c r="T44" t="s">
        <v>61</v>
      </c>
    </row>
    <row r="45" spans="4:19" ht="12.75">
      <c r="D45" s="42" t="s">
        <v>52</v>
      </c>
      <c r="E45" s="69" t="s">
        <v>62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  <c r="R45" s="43" t="s">
        <v>63</v>
      </c>
      <c r="S45" s="43">
        <v>1</v>
      </c>
    </row>
    <row r="46" spans="4:20" ht="12.75">
      <c r="D46" s="26" t="s">
        <v>30</v>
      </c>
      <c r="E46" s="57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27" t="s">
        <v>31</v>
      </c>
      <c r="S46" s="33">
        <v>1.065</v>
      </c>
      <c r="T46" t="s">
        <v>64</v>
      </c>
    </row>
    <row r="47" spans="4:20" ht="12.75">
      <c r="D47" s="42" t="s">
        <v>57</v>
      </c>
      <c r="E47" s="69" t="s">
        <v>59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1"/>
      <c r="R47" s="43" t="s">
        <v>40</v>
      </c>
      <c r="S47" s="43">
        <v>0.06</v>
      </c>
      <c r="T47" s="34"/>
    </row>
    <row r="48" spans="4:20" ht="12.75">
      <c r="D48" s="42"/>
      <c r="E48" s="69" t="s">
        <v>39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1"/>
      <c r="R48" s="43" t="s">
        <v>40</v>
      </c>
      <c r="S48" s="43">
        <v>0.015</v>
      </c>
      <c r="T48" s="34"/>
    </row>
    <row r="49" spans="4:20" ht="12.75">
      <c r="D49" s="42"/>
      <c r="E49" s="69" t="s">
        <v>60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  <c r="R49" s="43" t="s">
        <v>40</v>
      </c>
      <c r="S49" s="43">
        <v>0.06</v>
      </c>
      <c r="T49" s="34"/>
    </row>
    <row r="50" spans="4:20" ht="12.75">
      <c r="D50" s="42"/>
      <c r="E50" s="69" t="s">
        <v>54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"/>
      <c r="R50" s="43" t="s">
        <v>40</v>
      </c>
      <c r="S50" s="43">
        <v>0.015</v>
      </c>
      <c r="T50" s="34"/>
    </row>
    <row r="51" spans="4:20" ht="12.75">
      <c r="D51" s="26" t="s">
        <v>30</v>
      </c>
      <c r="E51" s="57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  <c r="R51" s="27" t="s">
        <v>31</v>
      </c>
      <c r="S51" s="44">
        <v>4.942</v>
      </c>
      <c r="T51" s="34"/>
    </row>
    <row r="52" spans="4:20" ht="12.75">
      <c r="D52" s="42" t="s">
        <v>25</v>
      </c>
      <c r="E52" s="69" t="s">
        <v>66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  <c r="R52" s="43" t="s">
        <v>67</v>
      </c>
      <c r="S52" s="43">
        <v>1</v>
      </c>
      <c r="T52" s="34"/>
    </row>
    <row r="53" spans="4:20" ht="12.75">
      <c r="D53" s="26" t="s">
        <v>30</v>
      </c>
      <c r="E53" s="5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  <c r="R53" s="27" t="s">
        <v>31</v>
      </c>
      <c r="S53" s="46">
        <v>7.598</v>
      </c>
      <c r="T53" s="34"/>
    </row>
    <row r="54" spans="4:20" ht="12.75">
      <c r="D54" s="42" t="s">
        <v>25</v>
      </c>
      <c r="E54" s="69" t="s">
        <v>59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  <c r="R54" s="43" t="s">
        <v>40</v>
      </c>
      <c r="S54" s="43">
        <v>0.12</v>
      </c>
      <c r="T54" s="34"/>
    </row>
    <row r="55" spans="4:20" ht="12.75">
      <c r="D55" s="42"/>
      <c r="E55" s="69" t="s">
        <v>60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1"/>
      <c r="R55" s="43" t="s">
        <v>40</v>
      </c>
      <c r="S55" s="43">
        <v>0.12</v>
      </c>
      <c r="T55" s="34"/>
    </row>
    <row r="56" spans="4:20" ht="12.75">
      <c r="D56" s="42"/>
      <c r="E56" s="69" t="s">
        <v>60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1"/>
      <c r="R56" s="43" t="s">
        <v>40</v>
      </c>
      <c r="S56" s="43">
        <v>0.22</v>
      </c>
      <c r="T56" s="34"/>
    </row>
    <row r="57" spans="4:20" ht="12.75">
      <c r="D57" s="42"/>
      <c r="E57" s="69" t="s">
        <v>68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  <c r="R57" s="43" t="s">
        <v>40</v>
      </c>
      <c r="S57" s="43">
        <v>0.22</v>
      </c>
      <c r="T57" s="34"/>
    </row>
    <row r="58" spans="4:20" ht="12.75">
      <c r="D58" s="26" t="s">
        <v>30</v>
      </c>
      <c r="E58" s="5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27" t="s">
        <v>31</v>
      </c>
      <c r="S58" s="46">
        <v>31.495</v>
      </c>
      <c r="T58" s="34"/>
    </row>
    <row r="59" spans="4:20" ht="12.75">
      <c r="D59" s="42" t="s">
        <v>25</v>
      </c>
      <c r="E59" s="69" t="s">
        <v>69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  <c r="R59" s="43" t="s">
        <v>70</v>
      </c>
      <c r="S59" s="43">
        <v>0.04</v>
      </c>
      <c r="T59" s="34"/>
    </row>
    <row r="60" spans="4:20" ht="12.75">
      <c r="D60" s="42"/>
      <c r="E60" s="69" t="s">
        <v>71</v>
      </c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1"/>
      <c r="R60" s="43" t="s">
        <v>70</v>
      </c>
      <c r="S60" s="43">
        <v>0.04</v>
      </c>
      <c r="T60" s="34"/>
    </row>
    <row r="61" spans="4:20" ht="12.75">
      <c r="D61" s="26" t="s">
        <v>30</v>
      </c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  <c r="R61" s="27" t="s">
        <v>31</v>
      </c>
      <c r="S61" s="46">
        <v>1.861</v>
      </c>
      <c r="T61" s="34"/>
    </row>
    <row r="62" spans="4:20" ht="12.75">
      <c r="D62" s="42" t="s">
        <v>35</v>
      </c>
      <c r="E62" s="69" t="s">
        <v>72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  <c r="R62" s="43" t="s">
        <v>40</v>
      </c>
      <c r="S62" s="43">
        <v>0.9</v>
      </c>
      <c r="T62" s="34"/>
    </row>
    <row r="63" spans="4:20" ht="12.75">
      <c r="D63" s="26" t="s">
        <v>30</v>
      </c>
      <c r="E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  <c r="R63" s="27" t="s">
        <v>31</v>
      </c>
      <c r="S63" s="47">
        <v>2.424</v>
      </c>
      <c r="T63" s="34"/>
    </row>
    <row r="64" spans="4:20" ht="12.75">
      <c r="D64" s="42" t="s">
        <v>38</v>
      </c>
      <c r="E64" s="69" t="s">
        <v>73</v>
      </c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1"/>
      <c r="R64" s="43" t="s">
        <v>74</v>
      </c>
      <c r="S64" s="43">
        <v>1</v>
      </c>
      <c r="T64" s="34"/>
    </row>
    <row r="65" spans="4:20" ht="12.75">
      <c r="D65" s="26" t="s">
        <v>30</v>
      </c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  <c r="R65" s="27" t="s">
        <v>31</v>
      </c>
      <c r="S65" s="47">
        <v>0.412</v>
      </c>
      <c r="T65" s="34"/>
    </row>
    <row r="66" spans="4:20" ht="12.75">
      <c r="D66" s="42" t="s">
        <v>41</v>
      </c>
      <c r="E66" s="69" t="s">
        <v>75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1"/>
      <c r="R66" s="43" t="s">
        <v>40</v>
      </c>
      <c r="S66" s="43">
        <v>0.02</v>
      </c>
      <c r="T66" s="34"/>
    </row>
    <row r="67" spans="4:20" ht="12.75">
      <c r="D67" s="42"/>
      <c r="E67" s="69" t="s">
        <v>76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1"/>
      <c r="R67" s="43" t="s">
        <v>40</v>
      </c>
      <c r="S67" s="43">
        <v>0.02</v>
      </c>
      <c r="T67" s="34"/>
    </row>
    <row r="68" spans="4:20" ht="12.75">
      <c r="D68" s="26" t="s">
        <v>30</v>
      </c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27" t="s">
        <v>31</v>
      </c>
      <c r="S68" s="48">
        <v>2.318</v>
      </c>
      <c r="T68" s="34" t="s">
        <v>77</v>
      </c>
    </row>
    <row r="69" spans="4:36" ht="12.75">
      <c r="D69" s="42" t="s">
        <v>41</v>
      </c>
      <c r="E69" s="69" t="s">
        <v>78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  <c r="R69" s="43" t="s">
        <v>74</v>
      </c>
      <c r="S69" s="43">
        <v>0.041</v>
      </c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4:36" ht="12.75">
      <c r="D70" s="26" t="s">
        <v>30</v>
      </c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  <c r="R70" s="27" t="s">
        <v>31</v>
      </c>
      <c r="S70" s="48">
        <v>9.561</v>
      </c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</row>
    <row r="71" spans="4:36" ht="27" customHeight="1">
      <c r="D71" s="42" t="s">
        <v>41</v>
      </c>
      <c r="E71" s="72" t="s">
        <v>79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8"/>
      <c r="R71" s="43" t="s">
        <v>74</v>
      </c>
      <c r="S71" s="43">
        <v>0.11</v>
      </c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</row>
    <row r="72" spans="4:36" ht="27" customHeight="1">
      <c r="D72" s="42"/>
      <c r="E72" s="66" t="s">
        <v>80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8"/>
      <c r="R72" s="43" t="s">
        <v>81</v>
      </c>
      <c r="S72" s="43">
        <v>0.02</v>
      </c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4:36" ht="12.75">
      <c r="D73" s="26" t="s">
        <v>30</v>
      </c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  <c r="R73" s="27" t="s">
        <v>31</v>
      </c>
      <c r="S73" s="48">
        <v>7.362</v>
      </c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4:36" ht="28.5" customHeight="1">
      <c r="D74" s="42" t="s">
        <v>41</v>
      </c>
      <c r="E74" s="66" t="s">
        <v>79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8"/>
      <c r="R74" s="43" t="s">
        <v>74</v>
      </c>
      <c r="S74" s="43">
        <v>0.06</v>
      </c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</row>
    <row r="75" spans="4:36" ht="12.75">
      <c r="D75" s="26" t="s">
        <v>30</v>
      </c>
      <c r="E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9"/>
      <c r="R75" s="27" t="s">
        <v>31</v>
      </c>
      <c r="S75" s="48">
        <v>3.221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4:20" ht="12.75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4:19" ht="12.7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4:19" ht="12.75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4:6" ht="12.75">
      <c r="D79" s="32"/>
      <c r="E79" s="27" t="s">
        <v>34</v>
      </c>
      <c r="F79" s="27" t="s">
        <v>33</v>
      </c>
    </row>
    <row r="80" spans="4:6" ht="12.75">
      <c r="D80" s="31" t="s">
        <v>42</v>
      </c>
      <c r="E80" s="20">
        <v>0</v>
      </c>
      <c r="F80" s="20">
        <v>13270</v>
      </c>
    </row>
    <row r="81" spans="4:6" ht="12.75">
      <c r="D81" s="31" t="s">
        <v>43</v>
      </c>
      <c r="E81" s="20">
        <v>0</v>
      </c>
      <c r="F81" s="20">
        <v>26540</v>
      </c>
    </row>
    <row r="82" spans="4:6" ht="12.75">
      <c r="D82" s="31" t="s">
        <v>44</v>
      </c>
      <c r="E82" s="20">
        <v>2000</v>
      </c>
      <c r="F82" s="20">
        <v>13270</v>
      </c>
    </row>
    <row r="83" spans="4:6" ht="12.75">
      <c r="D83" s="31" t="s">
        <v>46</v>
      </c>
      <c r="E83" s="20">
        <v>19804.42</v>
      </c>
      <c r="F83" s="20">
        <v>26537</v>
      </c>
    </row>
    <row r="84" spans="4:6" ht="12.75">
      <c r="D84" s="27" t="s">
        <v>30</v>
      </c>
      <c r="E84" s="27">
        <f>SUM(E80:E83)</f>
        <v>21804.42</v>
      </c>
      <c r="F84" s="27">
        <f>SUM(F80:F83)</f>
        <v>79617</v>
      </c>
    </row>
  </sheetData>
  <sheetProtection/>
  <mergeCells count="51">
    <mergeCell ref="E62:Q62"/>
    <mergeCell ref="E63:Q63"/>
    <mergeCell ref="E64:Q64"/>
    <mergeCell ref="E65:Q65"/>
    <mergeCell ref="E47:Q47"/>
    <mergeCell ref="E51:Q51"/>
    <mergeCell ref="E48:Q48"/>
    <mergeCell ref="E49:Q49"/>
    <mergeCell ref="E50:Q50"/>
    <mergeCell ref="E59:Q59"/>
    <mergeCell ref="D31:S31"/>
    <mergeCell ref="E32:Q32"/>
    <mergeCell ref="E33:Q33"/>
    <mergeCell ref="E34:Q34"/>
    <mergeCell ref="E40:Q40"/>
    <mergeCell ref="E42:Q42"/>
    <mergeCell ref="A4:Q4"/>
    <mergeCell ref="D5:F5"/>
    <mergeCell ref="H5:H6"/>
    <mergeCell ref="M5:O5"/>
    <mergeCell ref="P5:P6"/>
    <mergeCell ref="E45:Q45"/>
    <mergeCell ref="E35:Q35"/>
    <mergeCell ref="E26:Q26"/>
    <mergeCell ref="E43:Q43"/>
    <mergeCell ref="E44:Q44"/>
    <mergeCell ref="E46:Q46"/>
    <mergeCell ref="E41:Q41"/>
    <mergeCell ref="E36:Q36"/>
    <mergeCell ref="E38:Q38"/>
    <mergeCell ref="E39:Q39"/>
    <mergeCell ref="E37:Q37"/>
    <mergeCell ref="E61:Q61"/>
    <mergeCell ref="E60:Q60"/>
    <mergeCell ref="E52:Q52"/>
    <mergeCell ref="E53:Q53"/>
    <mergeCell ref="E54:Q54"/>
    <mergeCell ref="E58:Q58"/>
    <mergeCell ref="E55:Q55"/>
    <mergeCell ref="E56:Q56"/>
    <mergeCell ref="E57:Q57"/>
    <mergeCell ref="E73:Q73"/>
    <mergeCell ref="E72:Q72"/>
    <mergeCell ref="E74:Q74"/>
    <mergeCell ref="E75:Q75"/>
    <mergeCell ref="E66:Q66"/>
    <mergeCell ref="E68:Q68"/>
    <mergeCell ref="E67:Q67"/>
    <mergeCell ref="E69:Q69"/>
    <mergeCell ref="E70:Q70"/>
    <mergeCell ref="E71:Q71"/>
  </mergeCells>
  <printOptions/>
  <pageMargins left="0.39" right="0.16" top="0.82" bottom="0.55" header="0.5" footer="0.5"/>
  <pageSetup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2013-08-07T10:52:15Z</cp:lastPrinted>
  <dcterms:created xsi:type="dcterms:W3CDTF">1996-10-08T23:32:33Z</dcterms:created>
  <dcterms:modified xsi:type="dcterms:W3CDTF">2014-02-13T07:48:50Z</dcterms:modified>
  <cp:category/>
  <cp:version/>
  <cp:contentType/>
  <cp:contentStatus/>
</cp:coreProperties>
</file>