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755" windowHeight="5190" activeTab="0"/>
  </bookViews>
  <sheets>
    <sheet name="2013" sheetId="1" r:id="rId1"/>
  </sheets>
  <definedNames>
    <definedName name="_xlnm.Print_Area" localSheetId="0">'2013'!$B$35:$T$66</definedName>
  </definedNames>
  <calcPr fullCalcOnLoad="1" refMode="R1C1"/>
</workbook>
</file>

<file path=xl/comments1.xml><?xml version="1.0" encoding="utf-8"?>
<comments xmlns="http://schemas.openxmlformats.org/spreadsheetml/2006/main">
  <authors>
    <author>user1</author>
  </authors>
  <commentList>
    <comment ref="L8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1800 - нотариус
</t>
        </r>
      </text>
    </comment>
    <comment ref="L13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4500-установка счетчика электрического</t>
        </r>
      </text>
    </comment>
    <comment ref="L15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10003-краска, колер,грунтовка
21500-поверка, калибровка теплосчетчика</t>
        </r>
      </text>
    </comment>
    <comment ref="L16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300р-ремонт водостоков</t>
        </r>
      </text>
    </comment>
  </commentList>
</comments>
</file>

<file path=xl/sharedStrings.xml><?xml version="1.0" encoding="utf-8"?>
<sst xmlns="http://schemas.openxmlformats.org/spreadsheetml/2006/main" count="135" uniqueCount="76">
  <si>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</si>
  <si>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</si>
  <si>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</si>
  <si>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</si>
  <si>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</si>
  <si>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</si>
  <si>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</si>
  <si>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</si>
  <si>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</si>
  <si>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</si>
  <si>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Остаток </t>
  </si>
  <si>
    <t xml:space="preserve">Оплата </t>
  </si>
  <si>
    <t>ЕРКЦ</t>
  </si>
  <si>
    <t>Налог</t>
  </si>
  <si>
    <t>Ремонт</t>
  </si>
  <si>
    <t>Площадь</t>
  </si>
  <si>
    <t xml:space="preserve">Кол-во </t>
  </si>
  <si>
    <t>квар.</t>
  </si>
  <si>
    <t>на конец</t>
  </si>
  <si>
    <t>январь</t>
  </si>
  <si>
    <t>Расходы</t>
  </si>
  <si>
    <t>разное</t>
  </si>
  <si>
    <t>Содержание</t>
  </si>
  <si>
    <t>договор ав.</t>
  </si>
  <si>
    <t>декабрь</t>
  </si>
  <si>
    <t>Поступило от населения</t>
  </si>
  <si>
    <t>содержание</t>
  </si>
  <si>
    <t>ремонт</t>
  </si>
  <si>
    <t>итого</t>
  </si>
  <si>
    <t>эксплуатац.</t>
  </si>
  <si>
    <t>сметы</t>
  </si>
  <si>
    <t>Ген. директор ООО "Георгиевск - ЖЭУ"                                            Никишина И.М.</t>
  </si>
  <si>
    <t>теплосеть</t>
  </si>
  <si>
    <t>сод</t>
  </si>
  <si>
    <t>тер</t>
  </si>
  <si>
    <t>ит</t>
  </si>
  <si>
    <t>Месяц</t>
  </si>
  <si>
    <t>Наименование работ</t>
  </si>
  <si>
    <t>ед. изм.</t>
  </si>
  <si>
    <t>кол-во</t>
  </si>
  <si>
    <t>ИТОГО</t>
  </si>
  <si>
    <t>100м</t>
  </si>
  <si>
    <t>100м тр-да</t>
  </si>
  <si>
    <t>тыс.руб.</t>
  </si>
  <si>
    <t>Смена: выключателей</t>
  </si>
  <si>
    <t>100шт</t>
  </si>
  <si>
    <t>Кап. Рем.</t>
  </si>
  <si>
    <t>Учет доходов и расходов по Тургенева 13 на 2013 год</t>
  </si>
  <si>
    <t>Перечень выполненных работ по сметам за 2013 год по Тургенева 13</t>
  </si>
  <si>
    <t>кв.46,43 п/сушитель</t>
  </si>
  <si>
    <t>Разборка трубопроводов из водогазопроводных труб диаметром: до 32мм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</si>
  <si>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</si>
  <si>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кв.37</t>
  </si>
  <si>
    <t>Очистка канализационной сети: внутренней</t>
  </si>
  <si>
    <t>ростелеком</t>
  </si>
  <si>
    <t>кв.19 (х/в)</t>
  </si>
  <si>
    <t>Прокладка трубопроводов водоснабжения из напорных полиэтиленовых труб низкого давления среднего типа наружным диаметром: 25 мм</t>
  </si>
  <si>
    <t>Смена патронов</t>
  </si>
  <si>
    <t>Провод двух- и трехжильный с разделительным  основанием по стенам и потолкам, прокладываемый по основаниям: кирпичным</t>
  </si>
  <si>
    <t>Гидравлическое испытание трубопроводов систем отопления, водопровода и горячего водоснабжения диаметром: до 100мм</t>
  </si>
  <si>
    <t xml:space="preserve">100м2 </t>
  </si>
  <si>
    <t>Выкашивание газона: газонокосилкой</t>
  </si>
  <si>
    <t>Ремонт штукатурки гладких фасадов по камню и бетону с земли и лесов: цементно-известковым раствором площадью отдельных мест до 5м2 тощиной слоя до 20мм</t>
  </si>
  <si>
    <t>Перетирка штукатурки: фасадов гладких с земли и лесов</t>
  </si>
  <si>
    <t>Улучшенная масляная окраска ранее окрашенных фасадов с расчисткой старой краски: до 10% с земли и лесов</t>
  </si>
  <si>
    <t>Ремонт силового предохранительного шкафа</t>
  </si>
  <si>
    <t>Смена ламп: накаливания</t>
  </si>
  <si>
    <t>Установка диодов</t>
  </si>
  <si>
    <t>кв.18</t>
  </si>
  <si>
    <t>Разборка трубопроводов из водогазопроводоных труб диаметром: до 32мм</t>
  </si>
  <si>
    <t>Прокладка трубопроводов водоснабжения из напорных полиэтиленовых труб низкого давления среднего типа наружным диаметром: 20мм</t>
  </si>
  <si>
    <t>кв.22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</si>
  <si>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</si>
  <si>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кв.28,25</t>
  </si>
  <si>
    <t>Разборка трубопроводов из чугунных канализационных труб диаметром: 100мм</t>
  </si>
  <si>
    <t>Прокладка трубопроводов канализации из полиэтиленовых труб выскокой плотности диаметром: 110мм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</si>
</sst>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32" borderId="14" xfId="0" applyNumberFormat="1" applyFont="1" applyFill="1" applyBorder="1" applyAlignment="1">
      <alignment/>
    </xf>
    <xf numFmtId="164" fontId="2" fillId="32" borderId="14" xfId="0" applyNumberFormat="1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164" fontId="2" fillId="4" borderId="14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33" borderId="13" xfId="0" applyNumberFormat="1" applyFont="1" applyFill="1" applyBorder="1" applyAlignment="1">
      <alignment/>
    </xf>
    <xf numFmtId="0" fontId="2" fillId="10" borderId="14" xfId="0" applyFont="1" applyFill="1" applyBorder="1" applyAlignment="1">
      <alignment/>
    </xf>
    <xf numFmtId="164" fontId="3" fillId="32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17" fontId="2" fillId="0" borderId="14" xfId="0" applyNumberFormat="1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4" borderId="15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33" borderId="17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5" fillId="0" borderId="14" xfId="0" applyNumberFormat="1" applyFon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2" fontId="0" fillId="5" borderId="14" xfId="0" applyNumberFormat="1" applyFill="1" applyBorder="1" applyAlignment="1">
      <alignment/>
    </xf>
    <xf numFmtId="164" fontId="0" fillId="5" borderId="14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4" borderId="0" xfId="0" applyFill="1" applyAlignment="1">
      <alignment/>
    </xf>
    <xf numFmtId="2" fontId="5" fillId="33" borderId="14" xfId="0" applyNumberFormat="1" applyFont="1" applyFill="1" applyBorder="1" applyAlignment="1">
      <alignment/>
    </xf>
    <xf numFmtId="2" fontId="5" fillId="0" borderId="14" xfId="0" applyNumberFormat="1" applyFont="1" applyBorder="1" applyAlignment="1">
      <alignment/>
    </xf>
    <xf numFmtId="0" fontId="2" fillId="3" borderId="14" xfId="0" applyFont="1" applyFill="1" applyBorder="1" applyAlignment="1">
      <alignment/>
    </xf>
    <xf numFmtId="2" fontId="0" fillId="0" borderId="11" xfId="0" applyNumberFormat="1" applyBorder="1" applyAlignment="1">
      <alignment horizontal="left"/>
    </xf>
    <xf numFmtId="165" fontId="5" fillId="34" borderId="14" xfId="0" applyNumberFormat="1" applyFont="1" applyFill="1" applyBorder="1" applyAlignment="1">
      <alignment horizontal="right"/>
    </xf>
    <xf numFmtId="165" fontId="5" fillId="35" borderId="14" xfId="0" applyNumberFormat="1" applyFont="1" applyFill="1" applyBorder="1" applyAlignment="1">
      <alignment/>
    </xf>
    <xf numFmtId="165" fontId="5" fillId="36" borderId="14" xfId="0" applyNumberFormat="1" applyFont="1" applyFill="1" applyBorder="1" applyAlignment="1">
      <alignment horizontal="right"/>
    </xf>
    <xf numFmtId="165" fontId="5" fillId="24" borderId="14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5" fillId="33" borderId="11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5" fillId="37" borderId="0" xfId="0" applyNumberFormat="1" applyFont="1" applyFill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left"/>
    </xf>
    <xf numFmtId="2" fontId="0" fillId="0" borderId="18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2" fontId="0" fillId="33" borderId="11" xfId="0" applyNumberFormat="1" applyFill="1" applyBorder="1" applyAlignment="1">
      <alignment horizontal="left"/>
    </xf>
    <xf numFmtId="2" fontId="0" fillId="33" borderId="18" xfId="0" applyNumberFormat="1" applyFill="1" applyBorder="1" applyAlignment="1">
      <alignment horizontal="left"/>
    </xf>
    <xf numFmtId="2" fontId="0" fillId="33" borderId="16" xfId="0" applyNumberForma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3:AD72"/>
  <sheetViews>
    <sheetView tabSelected="1" zoomScalePageLayoutView="0" workbookViewId="0" topLeftCell="A4">
      <selection activeCell="J25" sqref="J25"/>
    </sheetView>
  </sheetViews>
  <sheetFormatPr defaultColWidth="9.00390625" defaultRowHeight="12.75"/>
  <cols>
    <col min="1" max="1" width="2.125" style="1" customWidth="1"/>
    <col min="2" max="2" width="8.875" style="1" customWidth="1"/>
    <col min="3" max="3" width="1.75390625" style="1" hidden="1" customWidth="1"/>
    <col min="4" max="4" width="9.625" style="1" customWidth="1"/>
    <col min="5" max="5" width="10.00390625" style="1" customWidth="1"/>
    <col min="6" max="6" width="11.875" style="1" customWidth="1"/>
    <col min="7" max="7" width="10.25390625" style="1" customWidth="1"/>
    <col min="8" max="8" width="10.125" style="1" customWidth="1"/>
    <col min="9" max="9" width="9.25390625" style="1" customWidth="1"/>
    <col min="10" max="10" width="9.75390625" style="1" customWidth="1"/>
    <col min="11" max="11" width="10.75390625" style="1" customWidth="1"/>
    <col min="12" max="13" width="11.125" style="1" customWidth="1"/>
    <col min="14" max="14" width="11.375" style="0" customWidth="1"/>
    <col min="15" max="15" width="13.75390625" style="0" customWidth="1"/>
    <col min="16" max="16" width="11.75390625" style="0" customWidth="1"/>
  </cols>
  <sheetData>
    <row r="1" ht="12.75"/>
    <row r="2" ht="12.75"/>
    <row r="3" spans="1:16" ht="12.75">
      <c r="A3"/>
      <c r="B3" s="3"/>
      <c r="C3" s="2"/>
      <c r="N3" s="1"/>
      <c r="O3" s="1"/>
      <c r="P3" s="4"/>
    </row>
    <row r="4" spans="1:17" ht="12.75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49"/>
    </row>
    <row r="5" spans="1:17" ht="12.75">
      <c r="A5" s="5"/>
      <c r="B5" s="6" t="s">
        <v>15</v>
      </c>
      <c r="C5" s="7" t="s">
        <v>16</v>
      </c>
      <c r="D5" s="65" t="s">
        <v>25</v>
      </c>
      <c r="E5" s="66"/>
      <c r="F5" s="67"/>
      <c r="G5" s="8" t="s">
        <v>11</v>
      </c>
      <c r="H5" s="8" t="s">
        <v>13</v>
      </c>
      <c r="I5" s="8" t="s">
        <v>33</v>
      </c>
      <c r="J5" s="9" t="s">
        <v>14</v>
      </c>
      <c r="K5" s="68" t="s">
        <v>22</v>
      </c>
      <c r="L5" s="69"/>
      <c r="M5" s="69"/>
      <c r="N5" s="70"/>
      <c r="O5" s="10" t="s">
        <v>20</v>
      </c>
      <c r="P5" s="11" t="s">
        <v>10</v>
      </c>
      <c r="Q5" s="81" t="s">
        <v>46</v>
      </c>
    </row>
    <row r="6" spans="1:17" ht="13.5" thickBot="1">
      <c r="A6" s="5"/>
      <c r="B6" s="12"/>
      <c r="C6" s="13" t="s">
        <v>17</v>
      </c>
      <c r="D6" s="14" t="s">
        <v>26</v>
      </c>
      <c r="E6" s="14" t="s">
        <v>27</v>
      </c>
      <c r="F6" s="8" t="s">
        <v>28</v>
      </c>
      <c r="G6" s="15" t="s">
        <v>12</v>
      </c>
      <c r="H6" s="15"/>
      <c r="I6" s="15" t="s">
        <v>34</v>
      </c>
      <c r="J6" s="8" t="s">
        <v>30</v>
      </c>
      <c r="K6" s="16" t="s">
        <v>23</v>
      </c>
      <c r="L6" s="23" t="s">
        <v>21</v>
      </c>
      <c r="M6" s="23" t="s">
        <v>32</v>
      </c>
      <c r="N6" s="15" t="s">
        <v>29</v>
      </c>
      <c r="O6" s="15"/>
      <c r="P6" s="17" t="s">
        <v>18</v>
      </c>
      <c r="Q6" s="82"/>
    </row>
    <row r="7" spans="1:17" ht="13.5" thickBot="1">
      <c r="A7" s="27"/>
      <c r="B7" s="28">
        <v>3705.9</v>
      </c>
      <c r="C7" s="28">
        <v>70</v>
      </c>
      <c r="D7" s="29"/>
      <c r="E7" s="32"/>
      <c r="F7" s="36">
        <v>17469.55</v>
      </c>
      <c r="G7" s="33"/>
      <c r="H7" s="29"/>
      <c r="I7" s="29"/>
      <c r="J7" s="30"/>
      <c r="K7" s="30"/>
      <c r="L7" s="29"/>
      <c r="M7" s="29"/>
      <c r="N7" s="29"/>
      <c r="O7" s="31"/>
      <c r="P7" s="35"/>
      <c r="Q7" s="42">
        <v>8490.96</v>
      </c>
    </row>
    <row r="8" spans="1:17" ht="12.75">
      <c r="A8" s="24" t="s">
        <v>19</v>
      </c>
      <c r="B8" s="24"/>
      <c r="C8" s="20"/>
      <c r="D8" s="21">
        <f>16143.43+6622.6</f>
        <v>22766.03</v>
      </c>
      <c r="E8" s="21">
        <f>5788.65+2649</f>
        <v>8437.65</v>
      </c>
      <c r="F8" s="34">
        <f aca="true" t="shared" si="0" ref="F8:F20">SUM(D8:E8)</f>
        <v>31203.68</v>
      </c>
      <c r="G8" s="18">
        <f aca="true" t="shared" si="1" ref="G8:G19">SUM(F8*0.03)</f>
        <v>936.1104</v>
      </c>
      <c r="H8" s="19">
        <f aca="true" t="shared" si="2" ref="H8:H20">SUM(F8*0.06)</f>
        <v>1872.2208</v>
      </c>
      <c r="I8" s="18">
        <v>4306.9</v>
      </c>
      <c r="J8" s="25">
        <f>3847+798</f>
        <v>4645</v>
      </c>
      <c r="K8" s="25">
        <v>3965.31</v>
      </c>
      <c r="L8" s="18">
        <f>2718+1800</f>
        <v>4518</v>
      </c>
      <c r="M8" s="18">
        <v>1372</v>
      </c>
      <c r="N8" s="18">
        <f aca="true" t="shared" si="3" ref="N8:N19">SUM(F8*0.2)</f>
        <v>6240.736000000001</v>
      </c>
      <c r="O8" s="19">
        <f aca="true" t="shared" si="4" ref="O8:O20">SUM(G8:N8)</f>
        <v>27856.2772</v>
      </c>
      <c r="P8" s="35">
        <f aca="true" t="shared" si="5" ref="P8:P20">F8-O8</f>
        <v>3347.4028</v>
      </c>
      <c r="Q8" s="26"/>
    </row>
    <row r="9" spans="1:17" ht="12.75">
      <c r="A9" s="24" t="s">
        <v>0</v>
      </c>
      <c r="B9" s="24"/>
      <c r="C9" s="20"/>
      <c r="D9" s="21">
        <f>13387.97+13261.8</f>
        <v>26649.769999999997</v>
      </c>
      <c r="E9" s="21">
        <f>5355.87+4017.25</f>
        <v>9373.119999999999</v>
      </c>
      <c r="F9" s="34">
        <f t="shared" si="0"/>
        <v>36022.89</v>
      </c>
      <c r="G9" s="18">
        <f t="shared" si="1"/>
        <v>1080.6867</v>
      </c>
      <c r="H9" s="19">
        <f t="shared" si="2"/>
        <v>2161.3734</v>
      </c>
      <c r="I9" s="18">
        <v>4306.9</v>
      </c>
      <c r="J9" s="25">
        <f>3450+9347</f>
        <v>12797</v>
      </c>
      <c r="K9" s="25">
        <v>3965.31</v>
      </c>
      <c r="L9" s="18">
        <v>2718</v>
      </c>
      <c r="M9" s="18">
        <v>1372</v>
      </c>
      <c r="N9" s="18">
        <f t="shared" si="3"/>
        <v>7204.578</v>
      </c>
      <c r="O9" s="19">
        <f t="shared" si="4"/>
        <v>35605.8481</v>
      </c>
      <c r="P9" s="35">
        <f t="shared" si="5"/>
        <v>417.04189999999653</v>
      </c>
      <c r="Q9" s="26"/>
    </row>
    <row r="10" spans="1:17" ht="12.75">
      <c r="A10" s="24" t="s">
        <v>1</v>
      </c>
      <c r="B10" s="24"/>
      <c r="C10" s="20"/>
      <c r="D10" s="21">
        <f>15676.24+8251.22+383.25</f>
        <v>24310.71</v>
      </c>
      <c r="E10" s="21">
        <f>6122.43+3562.07+153.3</f>
        <v>9837.8</v>
      </c>
      <c r="F10" s="34">
        <f t="shared" si="0"/>
        <v>34148.509999999995</v>
      </c>
      <c r="G10" s="18">
        <f t="shared" si="1"/>
        <v>1024.4552999999999</v>
      </c>
      <c r="H10" s="19">
        <f t="shared" si="2"/>
        <v>2048.9105999999997</v>
      </c>
      <c r="I10" s="18">
        <v>5382</v>
      </c>
      <c r="J10" s="25">
        <v>0</v>
      </c>
      <c r="K10" s="25">
        <v>3965.31</v>
      </c>
      <c r="L10" s="18">
        <v>4140</v>
      </c>
      <c r="M10" s="18">
        <v>1372</v>
      </c>
      <c r="N10" s="18">
        <f t="shared" si="3"/>
        <v>6829.701999999999</v>
      </c>
      <c r="O10" s="19">
        <f t="shared" si="4"/>
        <v>24762.3779</v>
      </c>
      <c r="P10" s="35">
        <f t="shared" si="5"/>
        <v>9386.132099999995</v>
      </c>
      <c r="Q10" s="26"/>
    </row>
    <row r="11" spans="1:17" ht="12.75">
      <c r="A11" s="24" t="s">
        <v>2</v>
      </c>
      <c r="B11" s="24"/>
      <c r="C11" s="20"/>
      <c r="D11" s="21">
        <f>15238.01+10557.62</f>
        <v>25795.63</v>
      </c>
      <c r="E11" s="21">
        <f>5776.2+4020.9</f>
        <v>9797.1</v>
      </c>
      <c r="F11" s="34">
        <f t="shared" si="0"/>
        <v>35592.73</v>
      </c>
      <c r="G11" s="18">
        <f t="shared" si="1"/>
        <v>1067.7819</v>
      </c>
      <c r="H11" s="19">
        <f t="shared" si="2"/>
        <v>2135.5638</v>
      </c>
      <c r="I11" s="18">
        <v>5382</v>
      </c>
      <c r="J11" s="25">
        <v>0</v>
      </c>
      <c r="K11" s="25">
        <v>3965.31</v>
      </c>
      <c r="L11" s="18">
        <v>4140</v>
      </c>
      <c r="M11" s="18">
        <v>1372</v>
      </c>
      <c r="N11" s="18">
        <f t="shared" si="3"/>
        <v>7118.546000000001</v>
      </c>
      <c r="O11" s="19">
        <f t="shared" si="4"/>
        <v>25181.2017</v>
      </c>
      <c r="P11" s="35">
        <f t="shared" si="5"/>
        <v>10411.528300000002</v>
      </c>
      <c r="Q11" s="26"/>
    </row>
    <row r="12" spans="1:17" ht="12.75">
      <c r="A12" s="24" t="s">
        <v>3</v>
      </c>
      <c r="B12" s="24"/>
      <c r="C12" s="20"/>
      <c r="D12" s="21">
        <f>19039+9266.8+468.8</f>
        <v>28774.6</v>
      </c>
      <c r="E12" s="21">
        <f>6391.5+3486.6+175.8</f>
        <v>10053.9</v>
      </c>
      <c r="F12" s="34">
        <f t="shared" si="0"/>
        <v>38828.5</v>
      </c>
      <c r="G12" s="18">
        <f t="shared" si="1"/>
        <v>1164.855</v>
      </c>
      <c r="H12" s="19">
        <f t="shared" si="2"/>
        <v>2329.71</v>
      </c>
      <c r="I12" s="18">
        <v>5382</v>
      </c>
      <c r="J12" s="25">
        <v>0</v>
      </c>
      <c r="K12" s="25">
        <v>3965.31</v>
      </c>
      <c r="L12" s="18">
        <v>4140</v>
      </c>
      <c r="M12" s="18">
        <v>0</v>
      </c>
      <c r="N12" s="18">
        <f t="shared" si="3"/>
        <v>7765.700000000001</v>
      </c>
      <c r="O12" s="19">
        <f t="shared" si="4"/>
        <v>24747.575</v>
      </c>
      <c r="P12" s="35">
        <f t="shared" si="5"/>
        <v>14080.925</v>
      </c>
      <c r="Q12" s="26"/>
    </row>
    <row r="13" spans="1:17" ht="12.75">
      <c r="A13" s="24" t="s">
        <v>4</v>
      </c>
      <c r="B13" s="24"/>
      <c r="C13" s="20"/>
      <c r="D13" s="21">
        <f>10613.58+9006.75</f>
        <v>19620.33</v>
      </c>
      <c r="E13" s="21">
        <f>4270.94+3369.3</f>
        <v>7640.24</v>
      </c>
      <c r="F13" s="34">
        <f t="shared" si="0"/>
        <v>27260.57</v>
      </c>
      <c r="G13" s="18">
        <f t="shared" si="1"/>
        <v>817.8171</v>
      </c>
      <c r="H13" s="19">
        <f t="shared" si="2"/>
        <v>1635.6342</v>
      </c>
      <c r="I13" s="18">
        <v>5382</v>
      </c>
      <c r="J13" s="25">
        <v>0</v>
      </c>
      <c r="K13" s="25">
        <v>3965.31</v>
      </c>
      <c r="L13" s="18">
        <f>4140+4500</f>
        <v>8640</v>
      </c>
      <c r="M13" s="18">
        <v>0</v>
      </c>
      <c r="N13" s="18">
        <f t="shared" si="3"/>
        <v>5452.1140000000005</v>
      </c>
      <c r="O13" s="19">
        <f t="shared" si="4"/>
        <v>25892.8753</v>
      </c>
      <c r="P13" s="35">
        <f t="shared" si="5"/>
        <v>1367.6947</v>
      </c>
      <c r="Q13" s="26"/>
    </row>
    <row r="14" spans="1:17" ht="12.75">
      <c r="A14" s="24" t="s">
        <v>5</v>
      </c>
      <c r="B14" s="24"/>
      <c r="C14" s="20"/>
      <c r="D14" s="21">
        <f>13669.37+18966.05+2846.4</f>
        <v>35481.82</v>
      </c>
      <c r="E14" s="21">
        <f>4845+7997+1067.4</f>
        <v>13909.4</v>
      </c>
      <c r="F14" s="34">
        <f t="shared" si="0"/>
        <v>49391.22</v>
      </c>
      <c r="G14" s="18">
        <f t="shared" si="1"/>
        <v>1481.7366</v>
      </c>
      <c r="H14" s="19">
        <f t="shared" si="2"/>
        <v>2963.4732</v>
      </c>
      <c r="I14" s="18">
        <v>5382</v>
      </c>
      <c r="J14" s="25">
        <v>0</v>
      </c>
      <c r="K14" s="25">
        <v>3965.31</v>
      </c>
      <c r="L14" s="18">
        <v>4140</v>
      </c>
      <c r="M14" s="18">
        <v>0</v>
      </c>
      <c r="N14" s="18">
        <f t="shared" si="3"/>
        <v>9878.244</v>
      </c>
      <c r="O14" s="19">
        <f t="shared" si="4"/>
        <v>27810.7638</v>
      </c>
      <c r="P14" s="35">
        <f t="shared" si="5"/>
        <v>21580.4562</v>
      </c>
      <c r="Q14" s="26"/>
    </row>
    <row r="15" spans="1:17" ht="12.75">
      <c r="A15" s="24" t="s">
        <v>6</v>
      </c>
      <c r="B15" s="24"/>
      <c r="C15" s="20"/>
      <c r="D15" s="21">
        <f>10657.13+9556.9</f>
        <v>20214.03</v>
      </c>
      <c r="E15" s="21">
        <f>3996.3+3595.24</f>
        <v>7591.54</v>
      </c>
      <c r="F15" s="34">
        <f t="shared" si="0"/>
        <v>27805.57</v>
      </c>
      <c r="G15" s="18">
        <f t="shared" si="1"/>
        <v>834.1671</v>
      </c>
      <c r="H15" s="19">
        <f t="shared" si="2"/>
        <v>1668.3342</v>
      </c>
      <c r="I15" s="18">
        <v>5382</v>
      </c>
      <c r="J15" s="25">
        <f>14014+5704+63052+1722+181</f>
        <v>84673</v>
      </c>
      <c r="K15" s="25">
        <v>3965.31</v>
      </c>
      <c r="L15" s="18">
        <f>4140+10003+21500</f>
        <v>35643</v>
      </c>
      <c r="M15" s="18">
        <v>0</v>
      </c>
      <c r="N15" s="18">
        <f t="shared" si="3"/>
        <v>5561.1140000000005</v>
      </c>
      <c r="O15" s="19">
        <f t="shared" si="4"/>
        <v>137726.9253</v>
      </c>
      <c r="P15" s="35">
        <f t="shared" si="5"/>
        <v>-109921.3553</v>
      </c>
      <c r="Q15" s="26"/>
    </row>
    <row r="16" spans="1:17" ht="12.75">
      <c r="A16" s="24" t="s">
        <v>7</v>
      </c>
      <c r="B16" s="24"/>
      <c r="C16" s="20"/>
      <c r="D16" s="21">
        <f>8283.43+12876.41</f>
        <v>21159.84</v>
      </c>
      <c r="E16" s="21">
        <f>3109.5+4837.04</f>
        <v>7946.54</v>
      </c>
      <c r="F16" s="34">
        <f t="shared" si="0"/>
        <v>29106.38</v>
      </c>
      <c r="G16" s="18">
        <f t="shared" si="1"/>
        <v>873.1914</v>
      </c>
      <c r="H16" s="19">
        <f t="shared" si="2"/>
        <v>1746.3828</v>
      </c>
      <c r="I16" s="18">
        <v>5382</v>
      </c>
      <c r="J16" s="25">
        <v>0</v>
      </c>
      <c r="K16" s="25">
        <v>3965.31</v>
      </c>
      <c r="L16" s="18">
        <f>4140+300</f>
        <v>4440</v>
      </c>
      <c r="M16" s="18">
        <v>0</v>
      </c>
      <c r="N16" s="18">
        <f t="shared" si="3"/>
        <v>5821.276000000001</v>
      </c>
      <c r="O16" s="19">
        <f t="shared" si="4"/>
        <v>22228.160200000002</v>
      </c>
      <c r="P16" s="35">
        <f t="shared" si="5"/>
        <v>6878.219799999999</v>
      </c>
      <c r="Q16" s="26"/>
    </row>
    <row r="17" spans="1:17" ht="12.75">
      <c r="A17" s="24" t="s">
        <v>8</v>
      </c>
      <c r="B17" s="24"/>
      <c r="C17" s="20"/>
      <c r="D17" s="21">
        <f>8653.6+15269.6+932.8</f>
        <v>24856</v>
      </c>
      <c r="E17" s="21">
        <f>3245.1+5725.12+349.8</f>
        <v>9320.019999999999</v>
      </c>
      <c r="F17" s="34">
        <f t="shared" si="0"/>
        <v>34176.02</v>
      </c>
      <c r="G17" s="18">
        <f t="shared" si="1"/>
        <v>1025.2805999999998</v>
      </c>
      <c r="H17" s="19">
        <f t="shared" si="2"/>
        <v>2050.5611999999996</v>
      </c>
      <c r="I17" s="18">
        <v>5382</v>
      </c>
      <c r="J17" s="25">
        <v>2901</v>
      </c>
      <c r="K17" s="25">
        <v>3965.31</v>
      </c>
      <c r="L17" s="18">
        <v>4140</v>
      </c>
      <c r="M17" s="18">
        <v>1372</v>
      </c>
      <c r="N17" s="18">
        <f t="shared" si="3"/>
        <v>6835.204</v>
      </c>
      <c r="O17" s="19">
        <f t="shared" si="4"/>
        <v>27671.355799999998</v>
      </c>
      <c r="P17" s="35">
        <f t="shared" si="5"/>
        <v>6504.664199999999</v>
      </c>
      <c r="Q17" s="26"/>
    </row>
    <row r="18" spans="1:17" ht="12.75">
      <c r="A18" s="24" t="s">
        <v>9</v>
      </c>
      <c r="B18" s="24"/>
      <c r="C18" s="20"/>
      <c r="D18" s="21">
        <f>11731.44+15338+932.8</f>
        <v>28002.24</v>
      </c>
      <c r="E18" s="21">
        <f>4396.2+5392.8+349.8</f>
        <v>10138.8</v>
      </c>
      <c r="F18" s="34">
        <f t="shared" si="0"/>
        <v>38141.04</v>
      </c>
      <c r="G18" s="18">
        <f t="shared" si="1"/>
        <v>1144.2312</v>
      </c>
      <c r="H18" s="19">
        <f t="shared" si="2"/>
        <v>2288.4624</v>
      </c>
      <c r="I18" s="18">
        <v>5382</v>
      </c>
      <c r="J18" s="25">
        <v>0</v>
      </c>
      <c r="K18" s="25">
        <v>3965.31</v>
      </c>
      <c r="L18" s="18">
        <v>4140</v>
      </c>
      <c r="M18" s="18">
        <v>1372</v>
      </c>
      <c r="N18" s="18">
        <f t="shared" si="3"/>
        <v>7628.2080000000005</v>
      </c>
      <c r="O18" s="19">
        <f t="shared" si="4"/>
        <v>25920.211599999995</v>
      </c>
      <c r="P18" s="35">
        <f t="shared" si="5"/>
        <v>12220.828400000006</v>
      </c>
      <c r="Q18" s="26"/>
    </row>
    <row r="19" spans="1:17" ht="12.75">
      <c r="A19" s="24" t="s">
        <v>24</v>
      </c>
      <c r="B19" s="24"/>
      <c r="C19" s="20"/>
      <c r="D19" s="21">
        <f>15678.13+15296.98+760</f>
        <v>31735.11</v>
      </c>
      <c r="E19" s="21">
        <f>7443.9+5340.9+285</f>
        <v>13069.8</v>
      </c>
      <c r="F19" s="34">
        <f t="shared" si="0"/>
        <v>44804.91</v>
      </c>
      <c r="G19" s="18">
        <f t="shared" si="1"/>
        <v>1344.1473</v>
      </c>
      <c r="H19" s="19">
        <f t="shared" si="2"/>
        <v>2688.2946</v>
      </c>
      <c r="I19" s="18">
        <v>5382</v>
      </c>
      <c r="J19" s="25">
        <f>4846+3409</f>
        <v>8255</v>
      </c>
      <c r="K19" s="25">
        <v>3965.31</v>
      </c>
      <c r="L19" s="18">
        <v>4140</v>
      </c>
      <c r="M19" s="18">
        <v>1372</v>
      </c>
      <c r="N19" s="18">
        <f t="shared" si="3"/>
        <v>8960.982000000002</v>
      </c>
      <c r="O19" s="19">
        <f t="shared" si="4"/>
        <v>36107.7339</v>
      </c>
      <c r="P19" s="35">
        <f t="shared" si="5"/>
        <v>8697.176100000004</v>
      </c>
      <c r="Q19" s="26"/>
    </row>
    <row r="20" spans="1:17" ht="12.75">
      <c r="A20" s="52" t="s">
        <v>54</v>
      </c>
      <c r="B20" s="52"/>
      <c r="C20" s="20"/>
      <c r="D20" s="21">
        <f>300+300+300+300+300+300+900+900</f>
        <v>3600</v>
      </c>
      <c r="E20" s="21">
        <v>0</v>
      </c>
      <c r="F20" s="34">
        <f t="shared" si="0"/>
        <v>3600</v>
      </c>
      <c r="G20" s="18">
        <v>0</v>
      </c>
      <c r="H20" s="19">
        <f t="shared" si="2"/>
        <v>216</v>
      </c>
      <c r="I20" s="18">
        <v>0</v>
      </c>
      <c r="J20" s="25">
        <v>0</v>
      </c>
      <c r="K20" s="25">
        <v>0</v>
      </c>
      <c r="L20" s="18">
        <v>0</v>
      </c>
      <c r="M20" s="18">
        <v>0</v>
      </c>
      <c r="N20" s="18">
        <v>0</v>
      </c>
      <c r="O20" s="19">
        <f t="shared" si="4"/>
        <v>216</v>
      </c>
      <c r="P20" s="35">
        <f t="shared" si="5"/>
        <v>3384</v>
      </c>
      <c r="Q20" s="26"/>
    </row>
    <row r="21" spans="1:17" ht="12.75">
      <c r="A21" s="43" t="s">
        <v>35</v>
      </c>
      <c r="B21" s="43"/>
      <c r="C21" s="43"/>
      <c r="D21" s="43">
        <f>SUM(D8:D20)</f>
        <v>312966.11</v>
      </c>
      <c r="E21" s="43">
        <f>SUM(E8:E20)</f>
        <v>117115.90999999999</v>
      </c>
      <c r="F21" s="43">
        <f>SUM(F7:F20)</f>
        <v>447551.57000000007</v>
      </c>
      <c r="G21" s="43">
        <f aca="true" t="shared" si="6" ref="G21:O21">SUM(G8:G20)</f>
        <v>12794.4606</v>
      </c>
      <c r="H21" s="43">
        <f t="shared" si="6"/>
        <v>25804.9212</v>
      </c>
      <c r="I21" s="43">
        <f t="shared" si="6"/>
        <v>62433.8</v>
      </c>
      <c r="J21" s="43">
        <f t="shared" si="6"/>
        <v>113271</v>
      </c>
      <c r="K21" s="43">
        <f t="shared" si="6"/>
        <v>47583.719999999994</v>
      </c>
      <c r="L21" s="43">
        <f t="shared" si="6"/>
        <v>84939</v>
      </c>
      <c r="M21" s="43">
        <f t="shared" si="6"/>
        <v>9604</v>
      </c>
      <c r="N21" s="44">
        <f t="shared" si="6"/>
        <v>85296.40400000001</v>
      </c>
      <c r="O21" s="44">
        <f t="shared" si="6"/>
        <v>441727.30580000003</v>
      </c>
      <c r="P21" s="51">
        <f>F21-O21</f>
        <v>5824.264200000034</v>
      </c>
      <c r="Q21" s="26"/>
    </row>
    <row r="22" spans="1:17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48"/>
      <c r="P22" s="45"/>
      <c r="Q22" s="46"/>
    </row>
    <row r="23" spans="1:17" ht="12.75">
      <c r="A23" s="47"/>
      <c r="B23" s="47"/>
      <c r="C23" s="47"/>
      <c r="D23" s="47"/>
      <c r="E23" s="47"/>
      <c r="N23" s="48"/>
      <c r="O23" s="48"/>
      <c r="P23" s="45"/>
      <c r="Q23" s="46"/>
    </row>
    <row r="24" spans="1:17" ht="12.75">
      <c r="A24" s="47"/>
      <c r="B24" s="47"/>
      <c r="C24" s="47"/>
      <c r="D24" s="47"/>
      <c r="E24" s="47"/>
      <c r="N24" s="48"/>
      <c r="O24" s="48"/>
      <c r="P24" s="45"/>
      <c r="Q24" s="46"/>
    </row>
    <row r="25" spans="1:17" ht="12.75">
      <c r="A25" s="47"/>
      <c r="B25" s="47"/>
      <c r="C25" s="47"/>
      <c r="D25" s="47"/>
      <c r="E25" s="47"/>
      <c r="N25" s="48"/>
      <c r="O25" s="48"/>
      <c r="P25" s="45"/>
      <c r="Q25" s="46"/>
    </row>
    <row r="26" spans="1:17" ht="12.75">
      <c r="A26" s="47"/>
      <c r="B26" s="47"/>
      <c r="C26" s="47"/>
      <c r="D26" s="47"/>
      <c r="E26" s="47"/>
      <c r="G26" s="22"/>
      <c r="H26" s="22"/>
      <c r="I26" s="22"/>
      <c r="J26" s="22" t="s">
        <v>72</v>
      </c>
      <c r="K26" s="22"/>
      <c r="L26" s="22"/>
      <c r="M26" s="22"/>
      <c r="N26" s="48"/>
      <c r="O26" s="48"/>
      <c r="P26" s="45"/>
      <c r="Q26" s="46"/>
    </row>
    <row r="27" spans="1:17" ht="12.75">
      <c r="A27" s="47"/>
      <c r="B27" s="47"/>
      <c r="C27" s="47"/>
      <c r="D27" s="47"/>
      <c r="E27" s="47"/>
      <c r="G27" s="22"/>
      <c r="H27" s="22"/>
      <c r="I27" s="22"/>
      <c r="J27" s="22"/>
      <c r="K27" s="22"/>
      <c r="L27" s="22"/>
      <c r="M27" s="22"/>
      <c r="N27" s="48"/>
      <c r="O27" s="48"/>
      <c r="P27" s="45"/>
      <c r="Q27" s="46"/>
    </row>
    <row r="28" spans="1:17" ht="12.75">
      <c r="A28" s="47"/>
      <c r="B28" s="47"/>
      <c r="C28" s="47"/>
      <c r="D28" s="47"/>
      <c r="E28" s="47"/>
      <c r="G28" s="22"/>
      <c r="H28" s="22"/>
      <c r="I28" s="22"/>
      <c r="J28" s="22"/>
      <c r="K28" s="22"/>
      <c r="L28" s="22"/>
      <c r="M28" s="22"/>
      <c r="N28" s="48"/>
      <c r="O28" s="48"/>
      <c r="P28" s="45"/>
      <c r="Q28" s="46"/>
    </row>
    <row r="29" spans="1:17" ht="12.75">
      <c r="A29" s="47"/>
      <c r="B29" s="47"/>
      <c r="C29" s="47"/>
      <c r="D29" s="47"/>
      <c r="E29" s="47"/>
      <c r="G29" s="22"/>
      <c r="H29" s="22"/>
      <c r="I29" s="22"/>
      <c r="J29" s="22"/>
      <c r="K29" s="22"/>
      <c r="L29" s="22"/>
      <c r="M29" s="22"/>
      <c r="N29" s="48"/>
      <c r="O29" s="48"/>
      <c r="P29" s="45"/>
      <c r="Q29" s="46"/>
    </row>
    <row r="30" spans="1:17" ht="12.75">
      <c r="A30" s="47"/>
      <c r="B30" s="47"/>
      <c r="C30" s="47"/>
      <c r="D30" s="47"/>
      <c r="E30" s="47"/>
      <c r="G30" s="22" t="s">
        <v>31</v>
      </c>
      <c r="H30" s="22"/>
      <c r="I30" s="22"/>
      <c r="J30" s="22"/>
      <c r="K30" s="22"/>
      <c r="L30" s="22"/>
      <c r="M30" s="22"/>
      <c r="N30" s="48"/>
      <c r="O30" s="48"/>
      <c r="P30" s="45"/>
      <c r="Q30" s="46"/>
    </row>
    <row r="31" spans="1:17" ht="12.75">
      <c r="A31" s="47"/>
      <c r="B31" s="47"/>
      <c r="C31" s="47"/>
      <c r="D31" s="47"/>
      <c r="E31" s="47"/>
      <c r="G31" s="22"/>
      <c r="H31" s="22"/>
      <c r="I31" s="22"/>
      <c r="J31" s="22"/>
      <c r="K31" s="22"/>
      <c r="L31" s="22"/>
      <c r="M31" s="22"/>
      <c r="N31" s="48"/>
      <c r="O31" s="48"/>
      <c r="P31" s="45"/>
      <c r="Q31" s="46"/>
    </row>
    <row r="35" spans="2:18" ht="12.75">
      <c r="B35" s="71" t="s">
        <v>48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 ht="12.75">
      <c r="B36" s="37" t="s">
        <v>36</v>
      </c>
      <c r="C36" s="72" t="s">
        <v>37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26" t="s">
        <v>38</v>
      </c>
      <c r="R36" s="26" t="s">
        <v>39</v>
      </c>
    </row>
    <row r="37" spans="2:18" ht="12.75">
      <c r="B37" s="38" t="s">
        <v>19</v>
      </c>
      <c r="C37" s="75" t="s">
        <v>50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26" t="s">
        <v>42</v>
      </c>
      <c r="R37" s="26">
        <v>0.03</v>
      </c>
    </row>
    <row r="38" spans="2:18" ht="12.75">
      <c r="B38" s="39"/>
      <c r="C38" s="58" t="s">
        <v>51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/>
      <c r="Q38" s="26" t="s">
        <v>42</v>
      </c>
      <c r="R38" s="26">
        <v>0.03</v>
      </c>
    </row>
    <row r="39" spans="2:19" ht="12.75">
      <c r="B39" s="40" t="s">
        <v>40</v>
      </c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41" t="s">
        <v>43</v>
      </c>
      <c r="R39" s="41">
        <v>3.847</v>
      </c>
      <c r="S39" t="s">
        <v>49</v>
      </c>
    </row>
    <row r="40" spans="2:18" ht="12.75">
      <c r="B40" s="51" t="s">
        <v>19</v>
      </c>
      <c r="C40" s="58" t="s">
        <v>53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26" t="s">
        <v>42</v>
      </c>
      <c r="R40" s="26">
        <v>0.08</v>
      </c>
    </row>
    <row r="41" spans="2:19" ht="12.75">
      <c r="B41" s="50" t="s">
        <v>40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  <c r="Q41" s="41" t="s">
        <v>43</v>
      </c>
      <c r="R41" s="41">
        <v>0.798</v>
      </c>
      <c r="S41" t="s">
        <v>52</v>
      </c>
    </row>
    <row r="42" spans="2:18" ht="12.75">
      <c r="B42" s="51" t="s">
        <v>0</v>
      </c>
      <c r="C42" s="58" t="s">
        <v>51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  <c r="Q42" s="26" t="s">
        <v>42</v>
      </c>
      <c r="R42" s="26">
        <v>0.005</v>
      </c>
    </row>
    <row r="43" spans="2:18" ht="12.75">
      <c r="B43" s="51"/>
      <c r="C43" s="58" t="s">
        <v>56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26" t="s">
        <v>42</v>
      </c>
      <c r="R43" s="26">
        <v>0.025</v>
      </c>
    </row>
    <row r="44" spans="2:18" ht="12.75">
      <c r="B44" s="51"/>
      <c r="C44" s="58" t="s">
        <v>50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/>
      <c r="Q44" s="26" t="s">
        <v>42</v>
      </c>
      <c r="R44" s="26">
        <v>0.03</v>
      </c>
    </row>
    <row r="45" spans="2:19" ht="12.75">
      <c r="B45" s="50" t="s">
        <v>40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41" t="s">
        <v>43</v>
      </c>
      <c r="R45" s="55">
        <v>3.45</v>
      </c>
      <c r="S45" t="s">
        <v>55</v>
      </c>
    </row>
    <row r="46" spans="2:18" ht="12.75">
      <c r="B46" s="51" t="s">
        <v>0</v>
      </c>
      <c r="C46" s="58" t="s">
        <v>44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  <c r="Q46" s="26" t="s">
        <v>45</v>
      </c>
      <c r="R46" s="26">
        <v>0.03</v>
      </c>
    </row>
    <row r="47" spans="2:18" ht="12.75">
      <c r="B47" s="51"/>
      <c r="C47" s="53"/>
      <c r="D47" s="59" t="s">
        <v>57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26" t="s">
        <v>45</v>
      </c>
      <c r="R47" s="26">
        <v>0.06</v>
      </c>
    </row>
    <row r="48" spans="2:18" ht="12.75">
      <c r="B48" s="51"/>
      <c r="C48" s="53"/>
      <c r="D48" s="59" t="s">
        <v>58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/>
      <c r="Q48" s="26" t="s">
        <v>41</v>
      </c>
      <c r="R48" s="26">
        <v>0.62</v>
      </c>
    </row>
    <row r="49" spans="2:18" ht="12.75">
      <c r="B49" s="50" t="s">
        <v>40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0"/>
      <c r="Q49" s="41" t="s">
        <v>43</v>
      </c>
      <c r="R49" s="55">
        <v>9.347</v>
      </c>
    </row>
    <row r="50" spans="2:18" ht="12.75">
      <c r="B50" s="51" t="s">
        <v>6</v>
      </c>
      <c r="C50" s="53"/>
      <c r="D50" s="59" t="s">
        <v>59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26" t="s">
        <v>42</v>
      </c>
      <c r="R50" s="26">
        <v>5.2</v>
      </c>
    </row>
    <row r="51" spans="2:18" ht="12.75">
      <c r="B51" s="50" t="s">
        <v>40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0"/>
      <c r="Q51" s="41" t="s">
        <v>43</v>
      </c>
      <c r="R51" s="54">
        <v>14.014</v>
      </c>
    </row>
    <row r="52" spans="2:18" ht="12.75">
      <c r="B52" s="51" t="s">
        <v>6</v>
      </c>
      <c r="C52" s="53"/>
      <c r="D52" s="59" t="s">
        <v>61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0"/>
      <c r="Q52" s="26" t="s">
        <v>60</v>
      </c>
      <c r="R52" s="26">
        <v>11.1</v>
      </c>
    </row>
    <row r="53" spans="2:18" ht="12.75">
      <c r="B53" s="50" t="s">
        <v>40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  <c r="Q53" s="41" t="s">
        <v>43</v>
      </c>
      <c r="R53" s="54">
        <v>5.704</v>
      </c>
    </row>
    <row r="54" spans="2:18" ht="27.75" customHeight="1">
      <c r="B54" s="51" t="s">
        <v>6</v>
      </c>
      <c r="C54" s="53"/>
      <c r="D54" s="76" t="s">
        <v>62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7"/>
      <c r="Q54" s="26" t="s">
        <v>60</v>
      </c>
      <c r="R54" s="26">
        <v>0.52</v>
      </c>
    </row>
    <row r="55" spans="2:18" ht="27.75" customHeight="1">
      <c r="B55" s="51"/>
      <c r="C55" s="53"/>
      <c r="D55" s="76" t="s">
        <v>63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7"/>
      <c r="Q55" s="26" t="s">
        <v>60</v>
      </c>
      <c r="R55" s="26">
        <v>1.1</v>
      </c>
    </row>
    <row r="56" spans="2:18" ht="27.75" customHeight="1">
      <c r="B56" s="51"/>
      <c r="C56" s="53"/>
      <c r="D56" s="76" t="s">
        <v>64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7"/>
      <c r="Q56" s="26" t="s">
        <v>60</v>
      </c>
      <c r="R56" s="26">
        <v>1.68</v>
      </c>
    </row>
    <row r="57" spans="2:18" ht="12.75">
      <c r="B57" s="50" t="s">
        <v>40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80"/>
      <c r="Q57" s="41" t="s">
        <v>43</v>
      </c>
      <c r="R57" s="54">
        <v>63.052</v>
      </c>
    </row>
    <row r="58" spans="2:18" ht="12.75">
      <c r="B58" s="51" t="s">
        <v>6</v>
      </c>
      <c r="C58" s="53"/>
      <c r="D58" s="76" t="s">
        <v>65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7"/>
      <c r="Q58" s="26" t="s">
        <v>45</v>
      </c>
      <c r="R58" s="26">
        <v>0.01</v>
      </c>
    </row>
    <row r="59" spans="2:18" ht="12.75">
      <c r="B59" s="50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  <c r="Q59" s="41" t="s">
        <v>43</v>
      </c>
      <c r="R59" s="54">
        <v>1.722</v>
      </c>
    </row>
    <row r="60" spans="2:18" ht="12.75">
      <c r="B60" s="51" t="s">
        <v>6</v>
      </c>
      <c r="C60" s="53"/>
      <c r="D60" s="76" t="s">
        <v>66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7"/>
      <c r="Q60" s="26" t="s">
        <v>45</v>
      </c>
      <c r="R60" s="26">
        <v>0.01</v>
      </c>
    </row>
    <row r="61" spans="2:18" ht="12.75">
      <c r="B61" s="51"/>
      <c r="C61" s="53"/>
      <c r="D61" s="76" t="s">
        <v>57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7"/>
      <c r="Q61" s="26" t="s">
        <v>45</v>
      </c>
      <c r="R61" s="26">
        <v>0.01</v>
      </c>
    </row>
    <row r="62" spans="2:18" ht="12.75">
      <c r="B62" s="51"/>
      <c r="C62" s="53"/>
      <c r="D62" s="76" t="s">
        <v>67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7"/>
      <c r="Q62" s="26" t="s">
        <v>45</v>
      </c>
      <c r="R62" s="26">
        <v>0.01</v>
      </c>
    </row>
    <row r="63" spans="2:18" ht="12.75">
      <c r="B63" s="50" t="s">
        <v>40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0"/>
      <c r="Q63" s="41" t="s">
        <v>43</v>
      </c>
      <c r="R63" s="54">
        <v>0.181</v>
      </c>
    </row>
    <row r="64" spans="2:30" ht="12.75">
      <c r="B64" s="51" t="s">
        <v>8</v>
      </c>
      <c r="C64" s="53"/>
      <c r="D64" s="76" t="s">
        <v>69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7"/>
      <c r="Q64" s="26" t="s">
        <v>42</v>
      </c>
      <c r="R64" s="26">
        <v>0.02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2.75">
      <c r="B65" s="51"/>
      <c r="C65" s="53"/>
      <c r="D65" s="76" t="s">
        <v>70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7"/>
      <c r="Q65" s="26" t="s">
        <v>42</v>
      </c>
      <c r="R65" s="26">
        <v>0.02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2.75">
      <c r="B66" s="50" t="s">
        <v>40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Q66" s="41" t="s">
        <v>43</v>
      </c>
      <c r="R66" s="56">
        <v>2.901</v>
      </c>
      <c r="S66" s="1" t="s">
        <v>68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2.75">
      <c r="B67" s="51" t="s">
        <v>24</v>
      </c>
      <c r="C67" s="53"/>
      <c r="D67" s="76" t="s">
        <v>50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7"/>
      <c r="Q67" s="26" t="s">
        <v>42</v>
      </c>
      <c r="R67" s="26">
        <v>0.04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2.75">
      <c r="B68" s="51"/>
      <c r="C68" s="53"/>
      <c r="D68" s="76" t="s">
        <v>70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7"/>
      <c r="Q68" s="26" t="s">
        <v>42</v>
      </c>
      <c r="R68" s="26">
        <v>0.4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>
      <c r="B69" s="50" t="s">
        <v>40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0"/>
      <c r="Q69" s="41" t="s">
        <v>43</v>
      </c>
      <c r="R69" s="57">
        <v>4.846</v>
      </c>
      <c r="S69" s="1" t="s">
        <v>71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.75">
      <c r="B70" s="51" t="s">
        <v>24</v>
      </c>
      <c r="C70" s="53"/>
      <c r="D70" s="76" t="s">
        <v>74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26" t="s">
        <v>42</v>
      </c>
      <c r="R70" s="26">
        <v>0.03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2.75">
      <c r="B71" s="51"/>
      <c r="C71" s="53"/>
      <c r="D71" s="76" t="s">
        <v>75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26" t="s">
        <v>42</v>
      </c>
      <c r="R71" s="26">
        <v>0.03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2.75">
      <c r="B72" s="50" t="s">
        <v>40</v>
      </c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80"/>
      <c r="Q72" s="41" t="s">
        <v>43</v>
      </c>
      <c r="R72" s="57">
        <v>3.409</v>
      </c>
      <c r="S72" s="1" t="s">
        <v>73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</sheetData>
  <sheetProtection/>
  <mergeCells count="42">
    <mergeCell ref="D60:P60"/>
    <mergeCell ref="C63:P63"/>
    <mergeCell ref="D61:P61"/>
    <mergeCell ref="D62:P62"/>
    <mergeCell ref="D58:P58"/>
    <mergeCell ref="C59:P59"/>
    <mergeCell ref="D54:P54"/>
    <mergeCell ref="C57:P57"/>
    <mergeCell ref="Q5:Q6"/>
    <mergeCell ref="D5:F5"/>
    <mergeCell ref="K5:N5"/>
    <mergeCell ref="B35:R35"/>
    <mergeCell ref="C43:P43"/>
    <mergeCell ref="C44:P44"/>
    <mergeCell ref="D52:P52"/>
    <mergeCell ref="A4:P4"/>
    <mergeCell ref="C39:P39"/>
    <mergeCell ref="C36:P36"/>
    <mergeCell ref="C37:P37"/>
    <mergeCell ref="C38:P38"/>
    <mergeCell ref="C51:P51"/>
    <mergeCell ref="C40:P40"/>
    <mergeCell ref="C41:P41"/>
    <mergeCell ref="C42:P42"/>
    <mergeCell ref="C45:P45"/>
    <mergeCell ref="D55:P55"/>
    <mergeCell ref="D56:P56"/>
    <mergeCell ref="C46:P46"/>
    <mergeCell ref="C49:P49"/>
    <mergeCell ref="D47:P47"/>
    <mergeCell ref="D48:P48"/>
    <mergeCell ref="D50:P50"/>
    <mergeCell ref="C53:P53"/>
    <mergeCell ref="D70:P70"/>
    <mergeCell ref="C72:P72"/>
    <mergeCell ref="D71:P71"/>
    <mergeCell ref="D64:P64"/>
    <mergeCell ref="C66:P66"/>
    <mergeCell ref="D65:P65"/>
    <mergeCell ref="D67:P67"/>
    <mergeCell ref="C69:P69"/>
    <mergeCell ref="D68:P68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2013-12-16T07:44:38Z</cp:lastPrinted>
  <dcterms:created xsi:type="dcterms:W3CDTF">2007-02-04T12:22:59Z</dcterms:created>
  <dcterms:modified xsi:type="dcterms:W3CDTF">2014-02-13T07:09:28Z</dcterms:modified>
  <cp:category/>
  <cp:version/>
  <cp:contentType/>
  <cp:contentStatus/>
</cp:coreProperties>
</file>