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2225" windowHeight="4995"/>
  </bookViews>
  <sheets>
    <sheet name="2014" sheetId="3" r:id="rId1"/>
  </sheets>
  <definedNames>
    <definedName name="_xlnm.Print_Area" localSheetId="0">'2014'!$A$40:$R$58</definedName>
  </definedNames>
  <calcPr calcId="145621"/>
</workbook>
</file>

<file path=xl/calcChain.xml><?xml version="1.0" encoding="utf-8"?>
<calcChain xmlns="http://schemas.openxmlformats.org/spreadsheetml/2006/main">
  <c r="D19" i="3" l="1"/>
  <c r="E19" i="3"/>
  <c r="F19" i="3"/>
  <c r="G19" i="3" s="1"/>
  <c r="J19" i="3"/>
  <c r="O20" i="3"/>
  <c r="N20" i="3"/>
  <c r="L20" i="3"/>
  <c r="K20" i="3"/>
  <c r="I20" i="3"/>
  <c r="P19" i="3" l="1"/>
  <c r="H19" i="3"/>
  <c r="E18" i="3"/>
  <c r="D18" i="3"/>
  <c r="Q19" i="3" l="1"/>
  <c r="R19" i="3" s="1"/>
  <c r="F18" i="3"/>
  <c r="H18" i="3" s="1"/>
  <c r="P18" i="3"/>
  <c r="M17" i="3"/>
  <c r="G18" i="3" l="1"/>
  <c r="Q18" i="3" s="1"/>
  <c r="R18" i="3" s="1"/>
  <c r="D17" i="3"/>
  <c r="E17" i="3"/>
  <c r="F17" i="3" l="1"/>
  <c r="G17" i="3" s="1"/>
  <c r="H17" i="3" l="1"/>
  <c r="P17" i="3"/>
  <c r="D16" i="3"/>
  <c r="E16" i="3"/>
  <c r="Q17" i="3" l="1"/>
  <c r="R17" i="3" s="1"/>
  <c r="F16" i="3"/>
  <c r="G16" i="3" s="1"/>
  <c r="J15" i="3"/>
  <c r="H16" i="3" l="1"/>
  <c r="P16" i="3"/>
  <c r="E15" i="3"/>
  <c r="Q16" i="3" l="1"/>
  <c r="R16" i="3" s="1"/>
  <c r="M15" i="3"/>
  <c r="D15" i="3" l="1"/>
  <c r="F15" i="3" s="1"/>
  <c r="G15" i="3" s="1"/>
  <c r="H15" i="3" l="1"/>
  <c r="P15" i="3"/>
  <c r="M14" i="3"/>
  <c r="Q15" i="3" l="1"/>
  <c r="R15" i="3" s="1"/>
  <c r="D14" i="3"/>
  <c r="E14" i="3"/>
  <c r="F14" i="3" s="1"/>
  <c r="G14" i="3" s="1"/>
  <c r="H14" i="3" l="1"/>
  <c r="P14" i="3"/>
  <c r="M13" i="3"/>
  <c r="Q14" i="3" l="1"/>
  <c r="R14" i="3" s="1"/>
  <c r="M12" i="3"/>
  <c r="D13" i="3" l="1"/>
  <c r="E13" i="3"/>
  <c r="F13" i="3" l="1"/>
  <c r="G13" i="3" s="1"/>
  <c r="J12" i="3"/>
  <c r="J20" i="3" s="1"/>
  <c r="P13" i="3" l="1"/>
  <c r="H13" i="3"/>
  <c r="Q13" i="3" l="1"/>
  <c r="R13" i="3" s="1"/>
  <c r="E12" i="3"/>
  <c r="D12" i="3"/>
  <c r="F12" i="3" l="1"/>
  <c r="P12" i="3" s="1"/>
  <c r="M11" i="3"/>
  <c r="G12" i="3" l="1"/>
  <c r="H12" i="3"/>
  <c r="E11" i="3"/>
  <c r="D11" i="3"/>
  <c r="F11" i="3" l="1"/>
  <c r="P11" i="3" s="1"/>
  <c r="Q12" i="3"/>
  <c r="R12" i="3" s="1"/>
  <c r="E10" i="3"/>
  <c r="D10" i="3"/>
  <c r="H11" i="3" l="1"/>
  <c r="G11" i="3"/>
  <c r="F10" i="3"/>
  <c r="P10" i="3" s="1"/>
  <c r="M9" i="3"/>
  <c r="M20" i="3" s="1"/>
  <c r="H10" i="3" l="1"/>
  <c r="Q11" i="3"/>
  <c r="R11" i="3" s="1"/>
  <c r="G10" i="3"/>
  <c r="D9" i="3"/>
  <c r="E9" i="3"/>
  <c r="Q10" i="3" l="1"/>
  <c r="R10" i="3" s="1"/>
  <c r="F9" i="3"/>
  <c r="H9" i="3" s="1"/>
  <c r="E8" i="3"/>
  <c r="E20" i="3" s="1"/>
  <c r="D8" i="3"/>
  <c r="D20" i="3" s="1"/>
  <c r="G9" i="3" l="1"/>
  <c r="P9" i="3"/>
  <c r="F8" i="3"/>
  <c r="F20" i="3" s="1"/>
  <c r="Q9" i="3" l="1"/>
  <c r="R9" i="3" s="1"/>
  <c r="P8" i="3"/>
  <c r="P20" i="3" s="1"/>
  <c r="H8" i="3"/>
  <c r="H20" i="3" s="1"/>
  <c r="G8" i="3"/>
  <c r="G20" i="3" s="1"/>
  <c r="Q8" i="3" l="1"/>
  <c r="Q20" i="3" s="1"/>
  <c r="R20" i="3" l="1"/>
  <c r="R8" i="3"/>
</calcChain>
</file>

<file path=xl/comments1.xml><?xml version="1.0" encoding="utf-8"?>
<comments xmlns="http://schemas.openxmlformats.org/spreadsheetml/2006/main">
  <authors>
    <author>User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3500р-страхование лифтов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969р-краска+3 доски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доски на лавочку-450руб.
3 банки краски - 750 руб.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500руб-ремонт полов лифта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800р-прибили оцинковку на крышу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930р-лифты</t>
        </r>
      </text>
    </comment>
    <comment ref="M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2000р-освидетельствование лифтов</t>
        </r>
      </text>
    </comment>
  </commentList>
</comments>
</file>

<file path=xl/sharedStrings.xml><?xml version="1.0" encoding="utf-8"?>
<sst xmlns="http://schemas.openxmlformats.org/spreadsheetml/2006/main" count="120" uniqueCount="79">
  <si>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</si>
  <si>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</si>
  <si>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</si>
  <si>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</si>
  <si>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</si>
  <si>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</si>
  <si>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</si>
  <si>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</si>
  <si>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</si>
  <si>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</si>
  <si>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</si>
  <si>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</si>
  <si>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</si>
  <si>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</si>
  <si>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</si>
  <si>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</si>
  <si>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Ген. директор ООО "Георгиевск - ЖЭУ"                                            Никишина И.М.</t>
  </si>
  <si>
    <t xml:space="preserve">эксплуатац. </t>
  </si>
  <si>
    <t>содержание</t>
  </si>
  <si>
    <t>ремонт</t>
  </si>
  <si>
    <t>итого</t>
  </si>
  <si>
    <t>Лифт</t>
  </si>
  <si>
    <t>разное</t>
  </si>
  <si>
    <t>Месяц</t>
  </si>
  <si>
    <t>ед. изм.</t>
  </si>
  <si>
    <t>кол-во</t>
  </si>
  <si>
    <t>апрель</t>
  </si>
  <si>
    <t>ИТОГО</t>
  </si>
  <si>
    <t>март</t>
  </si>
  <si>
    <t>июль</t>
  </si>
  <si>
    <t>июнь</t>
  </si>
  <si>
    <t>Очистка канализационной сети: внутренней</t>
  </si>
  <si>
    <t>тыс.руб.</t>
  </si>
  <si>
    <t>Обслуж.</t>
  </si>
  <si>
    <t>счетчиков</t>
  </si>
  <si>
    <t>август</t>
  </si>
  <si>
    <t>100м тр-да</t>
  </si>
  <si>
    <t>Ремонт групповых щитков на лестничной клетке без ремонта автоматов</t>
  </si>
  <si>
    <t>100шт</t>
  </si>
  <si>
    <t>Выкашивание газонов: газонокосилкой</t>
  </si>
  <si>
    <t>сентябрь</t>
  </si>
  <si>
    <t>октябрь</t>
  </si>
  <si>
    <t>квитанции</t>
  </si>
  <si>
    <t>ноябрь</t>
  </si>
  <si>
    <t>декабрь</t>
  </si>
  <si>
    <t>февраль</t>
  </si>
  <si>
    <t>кв.3</t>
  </si>
  <si>
    <t>май</t>
  </si>
  <si>
    <t>100м2</t>
  </si>
  <si>
    <t>Учет доходов и расходов по Быкова 75 на 2014 год</t>
  </si>
  <si>
    <t>Место провед-я работ</t>
  </si>
  <si>
    <t>январь</t>
  </si>
  <si>
    <t>Перечень выполненных работ по сметам за 2014 год по дому Быкова 75</t>
  </si>
  <si>
    <t>3500р</t>
  </si>
  <si>
    <t>страхование лифтов</t>
  </si>
  <si>
    <t>969р</t>
  </si>
  <si>
    <t>краска+3 доски</t>
  </si>
  <si>
    <t>Ремонт отдельными местами руллоного покрытия с промазкой: битумными составами с заменой 1 слоя</t>
  </si>
  <si>
    <t>2 вызова</t>
  </si>
  <si>
    <t>г/в</t>
  </si>
  <si>
    <t>Установка вентилей, задвижек, затворов, клапанов обратных, кранов проходных на трубопроводах из стальных труб диаметром: 32мм</t>
  </si>
  <si>
    <t>1шт</t>
  </si>
  <si>
    <t>Гидравлическое испытание трубопроводов систем отопления, водопровода и горячего водоснабжения диаметром: до 100мм</t>
  </si>
  <si>
    <t>кв.13</t>
  </si>
  <si>
    <t>2 покоса</t>
  </si>
  <si>
    <t>Обивка дверей оцинкованной кровельной сталью: по дереву с одной стороны</t>
  </si>
  <si>
    <t>Установка блоков в наружных и внутренних проемах: в каменных стенах, площадь проема до 3м2</t>
  </si>
  <si>
    <t>450р</t>
  </si>
  <si>
    <t>доски на лавочку</t>
  </si>
  <si>
    <t>750р</t>
  </si>
  <si>
    <t>3 банки краски</t>
  </si>
  <si>
    <t>500р</t>
  </si>
  <si>
    <t>ремонт полов лифта</t>
  </si>
  <si>
    <t>800р</t>
  </si>
  <si>
    <t>прибили оцинковку на крышу</t>
  </si>
  <si>
    <t>930р</t>
  </si>
  <si>
    <t>лифты</t>
  </si>
  <si>
    <t>2000р</t>
  </si>
  <si>
    <t>освидетельствование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</si>
</sst>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_р_."/>
    <numFmt numFmtId="165" formatCode="#,##0.000_р_."/>
    <numFmt numFmtId="167" formatCode="_-* #,##0.000_р_._-;\-* #,##0.000_р_._-;_-* &quot;-&quot;??_р_._-;_-@_-"/>
    <numFmt numFmtId="168" formatCode="#,##0.0_р_."/>
    <numFmt numFmtId="169" formatCode="_-* #,##0.000_р_._-;\-* #,##0.000_р_._-;_-* &quot;-&quot;?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5" fillId="0" borderId="1" xfId="0" applyFont="1" applyBorder="1"/>
    <xf numFmtId="1" fontId="5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2" fontId="5" fillId="0" borderId="2" xfId="0" applyNumberFormat="1" applyFont="1" applyBorder="1" applyAlignment="1"/>
    <xf numFmtId="0" fontId="5" fillId="0" borderId="3" xfId="0" applyFont="1" applyBorder="1"/>
    <xf numFmtId="1" fontId="5" fillId="0" borderId="3" xfId="0" applyNumberFormat="1" applyFont="1" applyBorder="1"/>
    <xf numFmtId="2" fontId="5" fillId="0" borderId="4" xfId="0" applyNumberFormat="1" applyFont="1" applyBorder="1"/>
    <xf numFmtId="2" fontId="5" fillId="0" borderId="3" xfId="0" applyNumberFormat="1" applyFont="1" applyBorder="1"/>
    <xf numFmtId="2" fontId="5" fillId="0" borderId="5" xfId="0" applyNumberFormat="1" applyFont="1" applyBorder="1"/>
    <xf numFmtId="0" fontId="5" fillId="0" borderId="4" xfId="0" applyFont="1" applyBorder="1"/>
    <xf numFmtId="1" fontId="5" fillId="0" borderId="4" xfId="0" applyNumberFormat="1" applyFont="1" applyBorder="1"/>
    <xf numFmtId="2" fontId="0" fillId="0" borderId="4" xfId="0" applyNumberFormat="1" applyBorder="1"/>
    <xf numFmtId="0" fontId="0" fillId="0" borderId="4" xfId="0" applyBorder="1"/>
    <xf numFmtId="2" fontId="5" fillId="4" borderId="4" xfId="0" applyNumberFormat="1" applyFont="1" applyFill="1" applyBorder="1"/>
    <xf numFmtId="0" fontId="0" fillId="5" borderId="4" xfId="0" applyFill="1" applyBorder="1"/>
    <xf numFmtId="164" fontId="2" fillId="5" borderId="4" xfId="0" applyNumberFormat="1" applyFont="1" applyFill="1" applyBorder="1"/>
    <xf numFmtId="2" fontId="2" fillId="5" borderId="4" xfId="0" applyNumberFormat="1" applyFont="1" applyFill="1" applyBorder="1"/>
    <xf numFmtId="164" fontId="0" fillId="0" borderId="0" xfId="0" applyNumberFormat="1"/>
    <xf numFmtId="0" fontId="7" fillId="0" borderId="0" xfId="0" applyFont="1" applyAlignment="1"/>
    <xf numFmtId="0" fontId="9" fillId="0" borderId="0" xfId="0" applyFont="1"/>
    <xf numFmtId="0" fontId="0" fillId="0" borderId="0" xfId="0" applyBorder="1"/>
    <xf numFmtId="9" fontId="0" fillId="0" borderId="0" xfId="0" applyNumberFormat="1" applyBorder="1"/>
    <xf numFmtId="0" fontId="0" fillId="0" borderId="0" xfId="0" applyFill="1" applyBorder="1"/>
    <xf numFmtId="9" fontId="0" fillId="0" borderId="0" xfId="0" applyNumberFormat="1" applyFill="1" applyBorder="1"/>
    <xf numFmtId="164" fontId="5" fillId="0" borderId="0" xfId="0" applyNumberFormat="1" applyFont="1" applyFill="1" applyBorder="1" applyAlignment="1"/>
    <xf numFmtId="2" fontId="0" fillId="0" borderId="0" xfId="0" applyNumberFormat="1" applyFill="1" applyBorder="1"/>
    <xf numFmtId="0" fontId="0" fillId="0" borderId="0" xfId="0" applyBorder="1" applyAlignment="1"/>
    <xf numFmtId="2" fontId="5" fillId="0" borderId="5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wrapText="1"/>
    </xf>
    <xf numFmtId="164" fontId="2" fillId="2" borderId="4" xfId="0" applyNumberFormat="1" applyFont="1" applyFill="1" applyBorder="1" applyAlignment="1"/>
    <xf numFmtId="164" fontId="2" fillId="3" borderId="4" xfId="0" applyNumberFormat="1" applyFont="1" applyFill="1" applyBorder="1" applyAlignment="1"/>
    <xf numFmtId="0" fontId="0" fillId="6" borderId="0" xfId="0" applyFill="1"/>
    <xf numFmtId="164" fontId="0" fillId="0" borderId="4" xfId="0" applyNumberFormat="1" applyBorder="1" applyAlignment="1">
      <alignment horizontal="right"/>
    </xf>
    <xf numFmtId="0" fontId="6" fillId="7" borderId="4" xfId="0" applyNumberFormat="1" applyFont="1" applyFill="1" applyBorder="1" applyAlignment="1">
      <alignment horizontal="left"/>
    </xf>
    <xf numFmtId="2" fontId="6" fillId="7" borderId="2" xfId="0" applyNumberFormat="1" applyFont="1" applyFill="1" applyBorder="1" applyAlignment="1"/>
    <xf numFmtId="2" fontId="6" fillId="7" borderId="7" xfId="0" applyNumberFormat="1" applyFont="1" applyFill="1" applyBorder="1" applyAlignment="1"/>
    <xf numFmtId="0" fontId="6" fillId="7" borderId="7" xfId="0" applyFont="1" applyFill="1" applyBorder="1"/>
    <xf numFmtId="0" fontId="6" fillId="7" borderId="6" xfId="0" applyFont="1" applyFill="1" applyBorder="1"/>
    <xf numFmtId="0" fontId="6" fillId="8" borderId="4" xfId="0" applyNumberFormat="1" applyFont="1" applyFill="1" applyBorder="1" applyAlignment="1">
      <alignment horizontal="left"/>
    </xf>
    <xf numFmtId="2" fontId="6" fillId="8" borderId="2" xfId="0" applyNumberFormat="1" applyFont="1" applyFill="1" applyBorder="1" applyAlignment="1"/>
    <xf numFmtId="2" fontId="6" fillId="8" borderId="7" xfId="0" applyNumberFormat="1" applyFont="1" applyFill="1" applyBorder="1" applyAlignment="1"/>
    <xf numFmtId="0" fontId="6" fillId="8" borderId="7" xfId="0" applyFont="1" applyFill="1" applyBorder="1"/>
    <xf numFmtId="0" fontId="6" fillId="8" borderId="6" xfId="0" applyFont="1" applyFill="1" applyBorder="1"/>
    <xf numFmtId="0" fontId="6" fillId="9" borderId="4" xfId="0" applyNumberFormat="1" applyFont="1" applyFill="1" applyBorder="1" applyAlignment="1">
      <alignment horizontal="left"/>
    </xf>
    <xf numFmtId="2" fontId="6" fillId="9" borderId="2" xfId="0" applyNumberFormat="1" applyFont="1" applyFill="1" applyBorder="1" applyAlignment="1"/>
    <xf numFmtId="2" fontId="6" fillId="9" borderId="7" xfId="0" applyNumberFormat="1" applyFont="1" applyFill="1" applyBorder="1" applyAlignment="1"/>
    <xf numFmtId="0" fontId="6" fillId="9" borderId="7" xfId="0" applyFont="1" applyFill="1" applyBorder="1"/>
    <xf numFmtId="168" fontId="0" fillId="0" borderId="4" xfId="0" applyNumberFormat="1" applyBorder="1" applyAlignment="1">
      <alignment horizontal="right"/>
    </xf>
    <xf numFmtId="167" fontId="6" fillId="9" borderId="6" xfId="1" applyNumberFormat="1" applyFont="1" applyFill="1" applyBorder="1" applyAlignment="1">
      <alignment horizontal="right"/>
    </xf>
    <xf numFmtId="0" fontId="6" fillId="10" borderId="4" xfId="0" applyNumberFormat="1" applyFont="1" applyFill="1" applyBorder="1" applyAlignment="1">
      <alignment horizontal="left"/>
    </xf>
    <xf numFmtId="2" fontId="6" fillId="10" borderId="2" xfId="0" applyNumberFormat="1" applyFont="1" applyFill="1" applyBorder="1" applyAlignment="1"/>
    <xf numFmtId="2" fontId="6" fillId="10" borderId="7" xfId="0" applyNumberFormat="1" applyFont="1" applyFill="1" applyBorder="1" applyAlignment="1"/>
    <xf numFmtId="0" fontId="6" fillId="10" borderId="7" xfId="0" applyFont="1" applyFill="1" applyBorder="1"/>
    <xf numFmtId="167" fontId="6" fillId="10" borderId="6" xfId="1" applyNumberFormat="1" applyFont="1" applyFill="1" applyBorder="1" applyAlignment="1">
      <alignment horizontal="right"/>
    </xf>
    <xf numFmtId="0" fontId="6" fillId="11" borderId="4" xfId="0" applyNumberFormat="1" applyFont="1" applyFill="1" applyBorder="1" applyAlignment="1">
      <alignment horizontal="left"/>
    </xf>
    <xf numFmtId="2" fontId="6" fillId="11" borderId="2" xfId="0" applyNumberFormat="1" applyFont="1" applyFill="1" applyBorder="1" applyAlignment="1"/>
    <xf numFmtId="2" fontId="6" fillId="11" borderId="7" xfId="0" applyNumberFormat="1" applyFont="1" applyFill="1" applyBorder="1" applyAlignment="1"/>
    <xf numFmtId="0" fontId="6" fillId="11" borderId="7" xfId="0" applyFont="1" applyFill="1" applyBorder="1"/>
    <xf numFmtId="167" fontId="6" fillId="11" borderId="6" xfId="1" applyNumberFormat="1" applyFont="1" applyFill="1" applyBorder="1" applyAlignment="1">
      <alignment horizontal="right"/>
    </xf>
    <xf numFmtId="0" fontId="6" fillId="12" borderId="4" xfId="0" applyNumberFormat="1" applyFont="1" applyFill="1" applyBorder="1" applyAlignment="1">
      <alignment horizontal="left"/>
    </xf>
    <xf numFmtId="2" fontId="6" fillId="12" borderId="2" xfId="0" applyNumberFormat="1" applyFont="1" applyFill="1" applyBorder="1" applyAlignment="1"/>
    <xf numFmtId="2" fontId="6" fillId="12" borderId="7" xfId="0" applyNumberFormat="1" applyFont="1" applyFill="1" applyBorder="1" applyAlignment="1"/>
    <xf numFmtId="0" fontId="6" fillId="12" borderId="7" xfId="0" applyFont="1" applyFill="1" applyBorder="1"/>
    <xf numFmtId="167" fontId="6" fillId="12" borderId="6" xfId="1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2" fontId="6" fillId="0" borderId="4" xfId="0" applyNumberFormat="1" applyFont="1" applyBorder="1" applyAlignment="1">
      <alignment horizontal="center"/>
    </xf>
    <xf numFmtId="169" fontId="0" fillId="0" borderId="0" xfId="0" applyNumberFormat="1"/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0" fillId="0" borderId="2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10" borderId="7" xfId="0" applyNumberFormat="1" applyFont="1" applyFill="1" applyBorder="1" applyAlignment="1">
      <alignment horizontal="center"/>
    </xf>
    <xf numFmtId="2" fontId="6" fillId="8" borderId="7" xfId="0" applyNumberFormat="1" applyFont="1" applyFill="1" applyBorder="1" applyAlignment="1">
      <alignment horizontal="center"/>
    </xf>
    <xf numFmtId="2" fontId="6" fillId="9" borderId="7" xfId="0" applyNumberFormat="1" applyFont="1" applyFill="1" applyBorder="1" applyAlignment="1">
      <alignment horizontal="center"/>
    </xf>
    <xf numFmtId="2" fontId="6" fillId="7" borderId="7" xfId="0" applyNumberFormat="1" applyFont="1" applyFill="1" applyBorder="1" applyAlignment="1">
      <alignment horizontal="center"/>
    </xf>
    <xf numFmtId="2" fontId="6" fillId="12" borderId="7" xfId="0" applyNumberFormat="1" applyFont="1" applyFill="1" applyBorder="1" applyAlignment="1">
      <alignment horizontal="center"/>
    </xf>
    <xf numFmtId="2" fontId="6" fillId="11" borderId="7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4:R63"/>
  <sheetViews>
    <sheetView tabSelected="1" zoomScaleNormal="100" workbookViewId="0">
      <selection activeCell="M26" sqref="M26"/>
    </sheetView>
  </sheetViews>
  <sheetFormatPr defaultRowHeight="12.75" x14ac:dyDescent="0.2"/>
  <cols>
    <col min="1" max="1" width="5.28515625" customWidth="1"/>
    <col min="2" max="2" width="0.28515625" customWidth="1"/>
    <col min="3" max="3" width="0.140625" hidden="1" customWidth="1"/>
    <col min="4" max="4" width="9.7109375" customWidth="1"/>
    <col min="5" max="5" width="9.85546875" customWidth="1"/>
    <col min="9" max="9" width="9.140625" customWidth="1"/>
    <col min="10" max="10" width="9.28515625" customWidth="1"/>
    <col min="11" max="11" width="9.5703125" customWidth="1"/>
    <col min="12" max="12" width="10" customWidth="1"/>
    <col min="13" max="13" width="8.85546875" customWidth="1"/>
    <col min="14" max="14" width="8.140625" customWidth="1"/>
    <col min="15" max="15" width="8.7109375" customWidth="1"/>
    <col min="16" max="16" width="8.85546875" customWidth="1"/>
    <col min="17" max="18" width="10" customWidth="1"/>
  </cols>
  <sheetData>
    <row r="4" spans="1:18" ht="15" x14ac:dyDescent="0.2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x14ac:dyDescent="0.2">
      <c r="A5" s="1"/>
      <c r="B5" s="2" t="s">
        <v>8</v>
      </c>
      <c r="C5" s="3" t="s">
        <v>9</v>
      </c>
      <c r="D5" s="79" t="s">
        <v>1</v>
      </c>
      <c r="E5" s="80"/>
      <c r="F5" s="81"/>
      <c r="G5" s="4" t="s">
        <v>2</v>
      </c>
      <c r="H5" s="85" t="s">
        <v>4</v>
      </c>
      <c r="I5" s="4" t="s">
        <v>5</v>
      </c>
      <c r="J5" s="6" t="s">
        <v>6</v>
      </c>
      <c r="K5" s="82" t="s">
        <v>14</v>
      </c>
      <c r="L5" s="83"/>
      <c r="M5" s="83"/>
      <c r="N5" s="83"/>
      <c r="O5" s="83"/>
      <c r="P5" s="84"/>
      <c r="Q5" s="85" t="s">
        <v>13</v>
      </c>
      <c r="R5" s="5" t="s">
        <v>0</v>
      </c>
    </row>
    <row r="6" spans="1:18" x14ac:dyDescent="0.2">
      <c r="A6" s="1"/>
      <c r="B6" s="7"/>
      <c r="C6" s="8" t="s">
        <v>11</v>
      </c>
      <c r="D6" s="9" t="s">
        <v>18</v>
      </c>
      <c r="E6" s="9" t="s">
        <v>19</v>
      </c>
      <c r="F6" s="9" t="s">
        <v>20</v>
      </c>
      <c r="G6" s="10" t="s">
        <v>3</v>
      </c>
      <c r="H6" s="86"/>
      <c r="I6" s="10" t="s">
        <v>10</v>
      </c>
      <c r="J6" s="4" t="s">
        <v>7</v>
      </c>
      <c r="K6" s="11" t="s">
        <v>15</v>
      </c>
      <c r="L6" s="31" t="s">
        <v>21</v>
      </c>
      <c r="M6" s="10" t="s">
        <v>22</v>
      </c>
      <c r="N6" s="10" t="s">
        <v>33</v>
      </c>
      <c r="O6" s="10" t="s">
        <v>42</v>
      </c>
      <c r="P6" s="10" t="s">
        <v>17</v>
      </c>
      <c r="Q6" s="86"/>
      <c r="R6" s="7" t="s">
        <v>12</v>
      </c>
    </row>
    <row r="7" spans="1:18" x14ac:dyDescent="0.2">
      <c r="A7" s="1"/>
      <c r="B7" s="7"/>
      <c r="C7" s="8"/>
      <c r="D7" s="9"/>
      <c r="E7" s="9"/>
      <c r="F7" s="16">
        <v>-155019.51999999999</v>
      </c>
      <c r="G7" s="10"/>
      <c r="H7" s="30"/>
      <c r="I7" s="10"/>
      <c r="J7" s="4"/>
      <c r="K7" s="11"/>
      <c r="L7" s="31"/>
      <c r="M7" s="10"/>
      <c r="N7" s="10" t="s">
        <v>34</v>
      </c>
      <c r="O7" s="10"/>
      <c r="P7" s="10"/>
      <c r="Q7" s="30"/>
      <c r="R7" s="12"/>
    </row>
    <row r="8" spans="1:18" x14ac:dyDescent="0.2">
      <c r="A8" s="12" t="s">
        <v>51</v>
      </c>
      <c r="B8" s="12"/>
      <c r="C8" s="13"/>
      <c r="D8" s="32">
        <f>10708.1+652.6</f>
        <v>11360.7</v>
      </c>
      <c r="E8" s="32">
        <f>4118.5+251</f>
        <v>4369.5</v>
      </c>
      <c r="F8" s="32">
        <f t="shared" ref="F8:F19" si="0">SUM(D8:E8)</f>
        <v>15730.2</v>
      </c>
      <c r="G8" s="33">
        <f t="shared" ref="G8:G19" si="1">SUM(F8*0.03)</f>
        <v>471.90600000000001</v>
      </c>
      <c r="H8" s="33">
        <f t="shared" ref="H8:H19" si="2">F8*0.06</f>
        <v>943.81200000000001</v>
      </c>
      <c r="I8" s="33">
        <v>2484</v>
      </c>
      <c r="J8" s="33">
        <v>0</v>
      </c>
      <c r="K8" s="33">
        <v>2224.96</v>
      </c>
      <c r="L8" s="33">
        <v>10426.14</v>
      </c>
      <c r="M8" s="33">
        <v>3810</v>
      </c>
      <c r="N8" s="33">
        <v>0</v>
      </c>
      <c r="O8" s="33">
        <v>540</v>
      </c>
      <c r="P8" s="33">
        <f t="shared" ref="P8:P19" si="3">F8*0.15</f>
        <v>2359.5300000000002</v>
      </c>
      <c r="Q8" s="33">
        <f t="shared" ref="Q8:Q19" si="4">P8+O8+N8+M8+L8+K8+J8+I8+H8+G8</f>
        <v>23260.347999999998</v>
      </c>
      <c r="R8" s="9">
        <f t="shared" ref="R8:R19" si="5">F8-Q8</f>
        <v>-7530.1479999999974</v>
      </c>
    </row>
    <row r="9" spans="1:18" x14ac:dyDescent="0.2">
      <c r="A9" s="12" t="s">
        <v>45</v>
      </c>
      <c r="B9" s="12"/>
      <c r="C9" s="13"/>
      <c r="D9" s="32">
        <f>24448.8+2593.5+894.4</f>
        <v>27936.7</v>
      </c>
      <c r="E9" s="32">
        <f>8896.74+997.5+344</f>
        <v>10238.24</v>
      </c>
      <c r="F9" s="32">
        <f t="shared" si="0"/>
        <v>38174.94</v>
      </c>
      <c r="G9" s="33">
        <f t="shared" si="1"/>
        <v>1145.2482</v>
      </c>
      <c r="H9" s="33">
        <f t="shared" si="2"/>
        <v>2290.4964</v>
      </c>
      <c r="I9" s="33">
        <v>2484</v>
      </c>
      <c r="J9" s="33">
        <v>0</v>
      </c>
      <c r="K9" s="33">
        <v>2224.96</v>
      </c>
      <c r="L9" s="33">
        <v>10426.14</v>
      </c>
      <c r="M9" s="33">
        <f>3810+3500</f>
        <v>7310</v>
      </c>
      <c r="N9" s="33">
        <v>0</v>
      </c>
      <c r="O9" s="33">
        <v>540</v>
      </c>
      <c r="P9" s="33">
        <f t="shared" si="3"/>
        <v>5726.241</v>
      </c>
      <c r="Q9" s="33">
        <f t="shared" si="4"/>
        <v>32147.085599999999</v>
      </c>
      <c r="R9" s="9">
        <f t="shared" si="5"/>
        <v>6027.8544000000038</v>
      </c>
    </row>
    <row r="10" spans="1:18" x14ac:dyDescent="0.2">
      <c r="A10" s="12" t="s">
        <v>28</v>
      </c>
      <c r="B10" s="12"/>
      <c r="C10" s="13"/>
      <c r="D10" s="32">
        <f>24469.9+1948.7+530.4</f>
        <v>26949.000000000004</v>
      </c>
      <c r="E10" s="32">
        <f>8351.5+749.2+204</f>
        <v>9304.7000000000007</v>
      </c>
      <c r="F10" s="32">
        <f t="shared" si="0"/>
        <v>36253.700000000004</v>
      </c>
      <c r="G10" s="33">
        <f t="shared" si="1"/>
        <v>1087.6110000000001</v>
      </c>
      <c r="H10" s="33">
        <f t="shared" si="2"/>
        <v>2175.2220000000002</v>
      </c>
      <c r="I10" s="33">
        <v>2484</v>
      </c>
      <c r="J10" s="33">
        <v>0</v>
      </c>
      <c r="K10" s="33">
        <v>2224.96</v>
      </c>
      <c r="L10" s="33">
        <v>10426.14</v>
      </c>
      <c r="M10" s="33">
        <v>3810</v>
      </c>
      <c r="N10" s="33">
        <v>0</v>
      </c>
      <c r="O10" s="33">
        <v>540</v>
      </c>
      <c r="P10" s="33">
        <f t="shared" si="3"/>
        <v>5438.0550000000003</v>
      </c>
      <c r="Q10" s="33">
        <f t="shared" si="4"/>
        <v>28185.988000000001</v>
      </c>
      <c r="R10" s="9">
        <f t="shared" si="5"/>
        <v>8067.7120000000032</v>
      </c>
    </row>
    <row r="11" spans="1:18" x14ac:dyDescent="0.2">
      <c r="A11" s="12" t="s">
        <v>26</v>
      </c>
      <c r="B11" s="12"/>
      <c r="C11" s="13"/>
      <c r="D11" s="32">
        <f>18697.1+2177.5+3875.3+5123.7</f>
        <v>29873.599999999999</v>
      </c>
      <c r="E11" s="32">
        <f>7558.9+1822.5+1490.8+1969.5</f>
        <v>12841.699999999999</v>
      </c>
      <c r="F11" s="32">
        <f t="shared" si="0"/>
        <v>42715.299999999996</v>
      </c>
      <c r="G11" s="33">
        <f t="shared" si="1"/>
        <v>1281.4589999999998</v>
      </c>
      <c r="H11" s="33">
        <f t="shared" si="2"/>
        <v>2562.9179999999997</v>
      </c>
      <c r="I11" s="33">
        <v>2484</v>
      </c>
      <c r="J11" s="33">
        <v>0</v>
      </c>
      <c r="K11" s="33">
        <v>2224.96</v>
      </c>
      <c r="L11" s="33">
        <v>10426.14</v>
      </c>
      <c r="M11" s="33">
        <f>3810+969</f>
        <v>4779</v>
      </c>
      <c r="N11" s="33">
        <v>0</v>
      </c>
      <c r="O11" s="33">
        <v>540</v>
      </c>
      <c r="P11" s="33">
        <f t="shared" si="3"/>
        <v>6407.2949999999992</v>
      </c>
      <c r="Q11" s="33">
        <f t="shared" si="4"/>
        <v>30705.771999999994</v>
      </c>
      <c r="R11" s="9">
        <f t="shared" si="5"/>
        <v>12009.528000000002</v>
      </c>
    </row>
    <row r="12" spans="1:18" x14ac:dyDescent="0.2">
      <c r="A12" s="12" t="s">
        <v>47</v>
      </c>
      <c r="B12" s="12"/>
      <c r="C12" s="13"/>
      <c r="D12" s="32">
        <f>11458.2+1500+3749.2+2840.5</f>
        <v>19547.900000000001</v>
      </c>
      <c r="E12" s="32">
        <f>4406.6+1442+1092.5</f>
        <v>6941.1</v>
      </c>
      <c r="F12" s="32">
        <f t="shared" si="0"/>
        <v>26489</v>
      </c>
      <c r="G12" s="33">
        <f t="shared" si="1"/>
        <v>794.67</v>
      </c>
      <c r="H12" s="33">
        <f t="shared" si="2"/>
        <v>1589.34</v>
      </c>
      <c r="I12" s="33">
        <v>2484</v>
      </c>
      <c r="J12" s="33">
        <f>5726+1552</f>
        <v>7278</v>
      </c>
      <c r="K12" s="33">
        <v>2224.96</v>
      </c>
      <c r="L12" s="33">
        <v>10426.14</v>
      </c>
      <c r="M12" s="33">
        <f>3810+450+750</f>
        <v>5010</v>
      </c>
      <c r="N12" s="33">
        <v>0</v>
      </c>
      <c r="O12" s="33">
        <v>540</v>
      </c>
      <c r="P12" s="33">
        <f t="shared" si="3"/>
        <v>3973.35</v>
      </c>
      <c r="Q12" s="33">
        <f t="shared" si="4"/>
        <v>34320.459999999992</v>
      </c>
      <c r="R12" s="9">
        <f t="shared" si="5"/>
        <v>-7831.4599999999919</v>
      </c>
    </row>
    <row r="13" spans="1:18" x14ac:dyDescent="0.2">
      <c r="A13" s="12" t="s">
        <v>30</v>
      </c>
      <c r="B13" s="12"/>
      <c r="C13" s="13"/>
      <c r="D13" s="32">
        <f>20276.21+600+2849.6+9766.9</f>
        <v>33492.71</v>
      </c>
      <c r="E13" s="32">
        <f>8488.88+1096+3756.5</f>
        <v>13341.38</v>
      </c>
      <c r="F13" s="32">
        <f t="shared" si="0"/>
        <v>46834.09</v>
      </c>
      <c r="G13" s="33">
        <f t="shared" si="1"/>
        <v>1405.0226999999998</v>
      </c>
      <c r="H13" s="33">
        <f t="shared" si="2"/>
        <v>2810.0453999999995</v>
      </c>
      <c r="I13" s="33">
        <v>2484</v>
      </c>
      <c r="J13" s="33">
        <v>1133</v>
      </c>
      <c r="K13" s="33">
        <v>2224.96</v>
      </c>
      <c r="L13" s="33">
        <v>10426.14</v>
      </c>
      <c r="M13" s="33">
        <f>3810+500</f>
        <v>4310</v>
      </c>
      <c r="N13" s="33">
        <v>0</v>
      </c>
      <c r="O13" s="33">
        <v>540</v>
      </c>
      <c r="P13" s="33">
        <f t="shared" si="3"/>
        <v>7025.1134999999995</v>
      </c>
      <c r="Q13" s="33">
        <f t="shared" si="4"/>
        <v>32358.281599999998</v>
      </c>
      <c r="R13" s="9">
        <f t="shared" si="5"/>
        <v>14475.808399999998</v>
      </c>
    </row>
    <row r="14" spans="1:18" x14ac:dyDescent="0.2">
      <c r="A14" s="12" t="s">
        <v>29</v>
      </c>
      <c r="B14" s="12"/>
      <c r="C14" s="13"/>
      <c r="D14" s="32">
        <f>24935.59+5444.4+643.5</f>
        <v>31023.489999999998</v>
      </c>
      <c r="E14" s="32">
        <f>9594.12+2345+247.5</f>
        <v>12186.62</v>
      </c>
      <c r="F14" s="32">
        <f t="shared" si="0"/>
        <v>43210.11</v>
      </c>
      <c r="G14" s="33">
        <f t="shared" si="1"/>
        <v>1296.3033</v>
      </c>
      <c r="H14" s="33">
        <f t="shared" si="2"/>
        <v>2592.6066000000001</v>
      </c>
      <c r="I14" s="33">
        <v>2484</v>
      </c>
      <c r="J14" s="33">
        <v>8780</v>
      </c>
      <c r="K14" s="33">
        <v>2224.96</v>
      </c>
      <c r="L14" s="33">
        <v>10426.14</v>
      </c>
      <c r="M14" s="33">
        <f>3810+800</f>
        <v>4610</v>
      </c>
      <c r="N14" s="33">
        <v>0</v>
      </c>
      <c r="O14" s="33">
        <v>540</v>
      </c>
      <c r="P14" s="33">
        <f t="shared" si="3"/>
        <v>6481.5164999999997</v>
      </c>
      <c r="Q14" s="33">
        <f t="shared" si="4"/>
        <v>39435.526399999995</v>
      </c>
      <c r="R14" s="9">
        <f t="shared" si="5"/>
        <v>3774.5836000000054</v>
      </c>
    </row>
    <row r="15" spans="1:18" x14ac:dyDescent="0.2">
      <c r="A15" s="12" t="s">
        <v>35</v>
      </c>
      <c r="B15" s="12"/>
      <c r="C15" s="13"/>
      <c r="D15" s="32">
        <f>17420+3295.5</f>
        <v>20715.5</v>
      </c>
      <c r="E15" s="32">
        <f>6700+1267.5</f>
        <v>7967.5</v>
      </c>
      <c r="F15" s="32">
        <f t="shared" si="0"/>
        <v>28683</v>
      </c>
      <c r="G15" s="33">
        <f t="shared" si="1"/>
        <v>860.49</v>
      </c>
      <c r="H15" s="33">
        <f t="shared" si="2"/>
        <v>1720.98</v>
      </c>
      <c r="I15" s="33">
        <v>2484</v>
      </c>
      <c r="J15" s="33">
        <f>376+802</f>
        <v>1178</v>
      </c>
      <c r="K15" s="33">
        <v>2224.96</v>
      </c>
      <c r="L15" s="33">
        <v>10426.14</v>
      </c>
      <c r="M15" s="33">
        <f>3810+930</f>
        <v>4740</v>
      </c>
      <c r="N15" s="33">
        <v>0</v>
      </c>
      <c r="O15" s="33">
        <v>540</v>
      </c>
      <c r="P15" s="33">
        <f t="shared" si="3"/>
        <v>4302.45</v>
      </c>
      <c r="Q15" s="33">
        <f t="shared" si="4"/>
        <v>28477.02</v>
      </c>
      <c r="R15" s="9">
        <f t="shared" si="5"/>
        <v>205.97999999999956</v>
      </c>
    </row>
    <row r="16" spans="1:18" x14ac:dyDescent="0.2">
      <c r="A16" s="12" t="s">
        <v>40</v>
      </c>
      <c r="B16" s="12"/>
      <c r="C16" s="13"/>
      <c r="D16" s="32">
        <f>31404.01+643.5</f>
        <v>32047.51</v>
      </c>
      <c r="E16" s="32">
        <f>9126.5+247.5</f>
        <v>9374</v>
      </c>
      <c r="F16" s="32">
        <f t="shared" si="0"/>
        <v>41421.509999999995</v>
      </c>
      <c r="G16" s="33">
        <f t="shared" si="1"/>
        <v>1242.6452999999999</v>
      </c>
      <c r="H16" s="33">
        <f t="shared" si="2"/>
        <v>2485.2905999999998</v>
      </c>
      <c r="I16" s="33">
        <v>2484</v>
      </c>
      <c r="J16" s="33">
        <v>4187</v>
      </c>
      <c r="K16" s="33">
        <v>2224.96</v>
      </c>
      <c r="L16" s="33">
        <v>10426.14</v>
      </c>
      <c r="M16" s="33">
        <v>3810</v>
      </c>
      <c r="N16" s="33">
        <v>0</v>
      </c>
      <c r="O16" s="33">
        <v>540</v>
      </c>
      <c r="P16" s="33">
        <f t="shared" si="3"/>
        <v>6213.2264999999989</v>
      </c>
      <c r="Q16" s="33">
        <f t="shared" si="4"/>
        <v>33613.262399999992</v>
      </c>
      <c r="R16" s="9">
        <f t="shared" si="5"/>
        <v>7808.2476000000024</v>
      </c>
    </row>
    <row r="17" spans="1:18" x14ac:dyDescent="0.2">
      <c r="A17" s="12" t="s">
        <v>41</v>
      </c>
      <c r="B17" s="12"/>
      <c r="C17" s="13"/>
      <c r="D17" s="32">
        <f>34948.13+1173.9</f>
        <v>36122.03</v>
      </c>
      <c r="E17" s="32">
        <f>13230.5+451.5</f>
        <v>13682</v>
      </c>
      <c r="F17" s="32">
        <f t="shared" si="0"/>
        <v>49804.03</v>
      </c>
      <c r="G17" s="33">
        <f t="shared" si="1"/>
        <v>1494.1208999999999</v>
      </c>
      <c r="H17" s="33">
        <f t="shared" si="2"/>
        <v>2988.2417999999998</v>
      </c>
      <c r="I17" s="33">
        <v>2484</v>
      </c>
      <c r="J17" s="33">
        <v>0</v>
      </c>
      <c r="K17" s="33">
        <v>2224.96</v>
      </c>
      <c r="L17" s="33">
        <v>10426.14</v>
      </c>
      <c r="M17" s="33">
        <f>3810+2000</f>
        <v>5810</v>
      </c>
      <c r="N17" s="33">
        <v>0</v>
      </c>
      <c r="O17" s="33">
        <v>540</v>
      </c>
      <c r="P17" s="33">
        <f t="shared" si="3"/>
        <v>7470.6044999999995</v>
      </c>
      <c r="Q17" s="33">
        <f t="shared" si="4"/>
        <v>33438.067199999998</v>
      </c>
      <c r="R17" s="9">
        <f t="shared" si="5"/>
        <v>16365.962800000001</v>
      </c>
    </row>
    <row r="18" spans="1:18" x14ac:dyDescent="0.2">
      <c r="A18" s="12" t="s">
        <v>43</v>
      </c>
      <c r="B18" s="12"/>
      <c r="C18" s="13"/>
      <c r="D18" s="32">
        <f>19085.87+1537.9</f>
        <v>20623.77</v>
      </c>
      <c r="E18" s="32">
        <f>7417+591.5</f>
        <v>8008.5</v>
      </c>
      <c r="F18" s="32">
        <f t="shared" si="0"/>
        <v>28632.27</v>
      </c>
      <c r="G18" s="33">
        <f t="shared" si="1"/>
        <v>858.96809999999994</v>
      </c>
      <c r="H18" s="33">
        <f t="shared" si="2"/>
        <v>1717.9361999999999</v>
      </c>
      <c r="I18" s="33">
        <v>2484</v>
      </c>
      <c r="J18" s="33">
        <v>0</v>
      </c>
      <c r="K18" s="33">
        <v>2224.96</v>
      </c>
      <c r="L18" s="33">
        <v>10426.14</v>
      </c>
      <c r="M18" s="33">
        <v>3810</v>
      </c>
      <c r="N18" s="33">
        <v>0</v>
      </c>
      <c r="O18" s="33">
        <v>540</v>
      </c>
      <c r="P18" s="33">
        <f t="shared" si="3"/>
        <v>4294.8405000000002</v>
      </c>
      <c r="Q18" s="33">
        <f t="shared" si="4"/>
        <v>26356.844799999995</v>
      </c>
      <c r="R18" s="9">
        <f t="shared" si="5"/>
        <v>2275.4252000000051</v>
      </c>
    </row>
    <row r="19" spans="1:18" x14ac:dyDescent="0.2">
      <c r="A19" s="12" t="s">
        <v>44</v>
      </c>
      <c r="B19" s="12"/>
      <c r="C19" s="13"/>
      <c r="D19" s="32">
        <f>33799.37</f>
        <v>33799.370000000003</v>
      </c>
      <c r="E19" s="32">
        <f>13659</f>
        <v>13659</v>
      </c>
      <c r="F19" s="32">
        <f t="shared" si="0"/>
        <v>47458.37</v>
      </c>
      <c r="G19" s="33">
        <f t="shared" si="1"/>
        <v>1423.7511</v>
      </c>
      <c r="H19" s="33">
        <f t="shared" si="2"/>
        <v>2847.5021999999999</v>
      </c>
      <c r="I19" s="33">
        <v>2484</v>
      </c>
      <c r="J19" s="33">
        <f>3568+805</f>
        <v>4373</v>
      </c>
      <c r="K19" s="33">
        <v>2224.96</v>
      </c>
      <c r="L19" s="33">
        <v>10426.14</v>
      </c>
      <c r="M19" s="33">
        <v>3810</v>
      </c>
      <c r="N19" s="33">
        <v>0</v>
      </c>
      <c r="O19" s="33">
        <v>540</v>
      </c>
      <c r="P19" s="33">
        <f t="shared" si="3"/>
        <v>7118.7555000000002</v>
      </c>
      <c r="Q19" s="33">
        <f t="shared" si="4"/>
        <v>35248.108800000002</v>
      </c>
      <c r="R19" s="9">
        <f t="shared" si="5"/>
        <v>12210.261200000001</v>
      </c>
    </row>
    <row r="20" spans="1:18" x14ac:dyDescent="0.2">
      <c r="A20" s="17" t="s">
        <v>20</v>
      </c>
      <c r="B20" s="17"/>
      <c r="C20" s="17"/>
      <c r="D20" s="18">
        <f>SUM(D8:D19)</f>
        <v>323492.28000000003</v>
      </c>
      <c r="E20" s="18">
        <f>SUM(E8:E19)</f>
        <v>121914.23999999999</v>
      </c>
      <c r="F20" s="19">
        <f>SUM(F7:F19)</f>
        <v>290387</v>
      </c>
      <c r="G20" s="18">
        <f t="shared" ref="G20:Q20" si="6">SUM(G8:G19)</f>
        <v>13362.195599999999</v>
      </c>
      <c r="H20" s="18">
        <f t="shared" si="6"/>
        <v>26724.391199999998</v>
      </c>
      <c r="I20" s="18">
        <f t="shared" si="6"/>
        <v>29808</v>
      </c>
      <c r="J20" s="18">
        <f t="shared" si="6"/>
        <v>26929</v>
      </c>
      <c r="K20" s="18">
        <f t="shared" si="6"/>
        <v>26699.519999999993</v>
      </c>
      <c r="L20" s="18">
        <f t="shared" si="6"/>
        <v>125113.68</v>
      </c>
      <c r="M20" s="18">
        <f t="shared" si="6"/>
        <v>55619</v>
      </c>
      <c r="N20" s="18">
        <f t="shared" si="6"/>
        <v>0</v>
      </c>
      <c r="O20" s="18">
        <f t="shared" si="6"/>
        <v>6480</v>
      </c>
      <c r="P20" s="18">
        <f t="shared" si="6"/>
        <v>66810.977999999988</v>
      </c>
      <c r="Q20" s="18">
        <f t="shared" si="6"/>
        <v>377546.76479999995</v>
      </c>
      <c r="R20" s="14">
        <f>F20-Q20</f>
        <v>-87159.764799999946</v>
      </c>
    </row>
    <row r="22" spans="1:18" x14ac:dyDescent="0.2">
      <c r="A22" s="23"/>
      <c r="B22" s="23"/>
      <c r="C22" s="23"/>
      <c r="D22" s="25"/>
      <c r="E22" s="25"/>
      <c r="F22" s="25"/>
      <c r="G22" s="26"/>
      <c r="H22" s="26"/>
      <c r="I22" s="25"/>
      <c r="J22" s="25"/>
      <c r="K22" s="27"/>
      <c r="L22" s="23"/>
      <c r="M22" s="23"/>
      <c r="N22" s="23"/>
      <c r="O22" s="23"/>
      <c r="P22" s="24"/>
      <c r="Q22" s="23"/>
      <c r="R22" s="23"/>
    </row>
    <row r="23" spans="1:18" x14ac:dyDescent="0.2">
      <c r="A23" s="29"/>
      <c r="B23" s="29"/>
      <c r="C23" s="29"/>
      <c r="D23" s="25" t="s">
        <v>45</v>
      </c>
      <c r="E23" s="25" t="s">
        <v>53</v>
      </c>
      <c r="F23" s="25" t="s">
        <v>54</v>
      </c>
      <c r="G23" s="25"/>
      <c r="H23" s="25"/>
      <c r="I23" s="25"/>
      <c r="J23" s="25"/>
      <c r="K23" s="28"/>
      <c r="L23" s="23"/>
      <c r="M23" s="23"/>
      <c r="N23" s="23"/>
      <c r="O23" s="23"/>
      <c r="P23" s="23"/>
      <c r="Q23" s="23"/>
      <c r="R23" s="23"/>
    </row>
    <row r="24" spans="1:18" x14ac:dyDescent="0.2">
      <c r="A24" s="29"/>
      <c r="B24" s="29"/>
      <c r="C24" s="29"/>
      <c r="D24" s="23" t="s">
        <v>26</v>
      </c>
      <c r="E24" s="23" t="s">
        <v>55</v>
      </c>
      <c r="F24" s="23" t="s">
        <v>56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2">
      <c r="D25" t="s">
        <v>47</v>
      </c>
      <c r="E25" t="s">
        <v>67</v>
      </c>
      <c r="F25" t="s">
        <v>68</v>
      </c>
      <c r="G25" s="22"/>
      <c r="H25" s="22"/>
      <c r="I25" s="22"/>
      <c r="K25" s="20"/>
    </row>
    <row r="26" spans="1:18" x14ac:dyDescent="0.2">
      <c r="E26" t="s">
        <v>69</v>
      </c>
      <c r="F26" t="s">
        <v>70</v>
      </c>
    </row>
    <row r="27" spans="1:18" x14ac:dyDescent="0.2">
      <c r="D27" t="s">
        <v>30</v>
      </c>
      <c r="E27" t="s">
        <v>71</v>
      </c>
      <c r="F27" t="s">
        <v>72</v>
      </c>
    </row>
    <row r="28" spans="1:18" x14ac:dyDescent="0.2">
      <c r="D28" t="s">
        <v>29</v>
      </c>
      <c r="E28" t="s">
        <v>73</v>
      </c>
      <c r="F28" t="s">
        <v>74</v>
      </c>
    </row>
    <row r="29" spans="1:18" x14ac:dyDescent="0.2">
      <c r="D29" t="s">
        <v>35</v>
      </c>
      <c r="E29" t="s">
        <v>75</v>
      </c>
      <c r="F29" t="s">
        <v>76</v>
      </c>
    </row>
    <row r="30" spans="1:18" x14ac:dyDescent="0.2">
      <c r="D30" t="s">
        <v>41</v>
      </c>
      <c r="E30" t="s">
        <v>77</v>
      </c>
      <c r="F30" t="s">
        <v>78</v>
      </c>
    </row>
    <row r="34" spans="1:18" ht="14.25" x14ac:dyDescent="0.2">
      <c r="H34" s="21" t="s">
        <v>16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40" spans="1:18" x14ac:dyDescent="0.2">
      <c r="A40" s="88" t="s">
        <v>52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34"/>
      <c r="R40" s="34"/>
    </row>
    <row r="41" spans="1:18" x14ac:dyDescent="0.2">
      <c r="A41" s="70" t="s">
        <v>23</v>
      </c>
      <c r="B41" s="71"/>
      <c r="C41" s="72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15" t="s">
        <v>24</v>
      </c>
      <c r="P41" s="15" t="s">
        <v>25</v>
      </c>
      <c r="Q41" s="89" t="s">
        <v>50</v>
      </c>
      <c r="R41" s="90"/>
    </row>
    <row r="42" spans="1:18" x14ac:dyDescent="0.2">
      <c r="A42" s="91" t="s">
        <v>47</v>
      </c>
      <c r="B42" s="92"/>
      <c r="C42" s="93"/>
      <c r="D42" s="73" t="s">
        <v>57</v>
      </c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15" t="s">
        <v>48</v>
      </c>
      <c r="P42" s="35">
        <v>0.15</v>
      </c>
      <c r="Q42" s="89"/>
      <c r="R42" s="90"/>
    </row>
    <row r="43" spans="1:18" x14ac:dyDescent="0.2">
      <c r="A43" s="36" t="s">
        <v>27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97"/>
      <c r="O43" s="97"/>
      <c r="P43" s="97"/>
      <c r="Q43" s="39" t="s">
        <v>32</v>
      </c>
      <c r="R43" s="40">
        <v>5.726</v>
      </c>
    </row>
    <row r="44" spans="1:18" x14ac:dyDescent="0.2">
      <c r="A44" s="91" t="s">
        <v>47</v>
      </c>
      <c r="B44" s="92"/>
      <c r="C44" s="93"/>
      <c r="D44" s="73" t="s">
        <v>31</v>
      </c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15" t="s">
        <v>36</v>
      </c>
      <c r="P44" s="35">
        <v>0.16</v>
      </c>
      <c r="Q44" s="89" t="s">
        <v>58</v>
      </c>
      <c r="R44" s="90"/>
    </row>
    <row r="45" spans="1:18" x14ac:dyDescent="0.2">
      <c r="A45" s="36" t="s">
        <v>27</v>
      </c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97"/>
      <c r="O45" s="97"/>
      <c r="P45" s="97"/>
      <c r="Q45" s="39" t="s">
        <v>32</v>
      </c>
      <c r="R45" s="40">
        <v>1.552</v>
      </c>
    </row>
    <row r="46" spans="1:18" ht="25.5" customHeight="1" x14ac:dyDescent="0.2">
      <c r="A46" s="91" t="s">
        <v>47</v>
      </c>
      <c r="B46" s="92"/>
      <c r="C46" s="93"/>
      <c r="D46" s="76" t="s">
        <v>60</v>
      </c>
      <c r="E46" s="77"/>
      <c r="F46" s="77"/>
      <c r="G46" s="77"/>
      <c r="H46" s="77"/>
      <c r="I46" s="77"/>
      <c r="J46" s="77"/>
      <c r="K46" s="77"/>
      <c r="L46" s="77"/>
      <c r="M46" s="77"/>
      <c r="N46" s="78"/>
      <c r="O46" s="15" t="s">
        <v>61</v>
      </c>
      <c r="P46" s="35">
        <v>1</v>
      </c>
      <c r="Q46" s="89" t="s">
        <v>59</v>
      </c>
      <c r="R46" s="90"/>
    </row>
    <row r="47" spans="1:18" x14ac:dyDescent="0.2">
      <c r="A47" s="41" t="s">
        <v>27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95"/>
      <c r="O47" s="95"/>
      <c r="P47" s="95"/>
      <c r="Q47" s="44" t="s">
        <v>32</v>
      </c>
      <c r="R47" s="45">
        <v>1.133</v>
      </c>
    </row>
    <row r="48" spans="1:18" ht="28.5" customHeight="1" x14ac:dyDescent="0.2">
      <c r="A48" s="91" t="s">
        <v>29</v>
      </c>
      <c r="B48" s="92"/>
      <c r="C48" s="93"/>
      <c r="D48" s="76" t="s">
        <v>62</v>
      </c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15" t="s">
        <v>36</v>
      </c>
      <c r="P48" s="50">
        <v>3.2</v>
      </c>
      <c r="Q48" s="89"/>
      <c r="R48" s="90"/>
    </row>
    <row r="49" spans="1:18" x14ac:dyDescent="0.2">
      <c r="A49" s="46" t="s">
        <v>27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96"/>
      <c r="O49" s="96"/>
      <c r="P49" s="96"/>
      <c r="Q49" s="49" t="s">
        <v>32</v>
      </c>
      <c r="R49" s="51">
        <v>8.7799999999999994</v>
      </c>
    </row>
    <row r="50" spans="1:18" x14ac:dyDescent="0.2">
      <c r="A50" s="91" t="s">
        <v>35</v>
      </c>
      <c r="B50" s="92"/>
      <c r="C50" s="93"/>
      <c r="D50" s="76" t="s">
        <v>37</v>
      </c>
      <c r="E50" s="77"/>
      <c r="F50" s="77"/>
      <c r="G50" s="77"/>
      <c r="H50" s="77"/>
      <c r="I50" s="77"/>
      <c r="J50" s="77"/>
      <c r="K50" s="77"/>
      <c r="L50" s="77"/>
      <c r="M50" s="77"/>
      <c r="N50" s="78"/>
      <c r="O50" s="15" t="s">
        <v>38</v>
      </c>
      <c r="P50" s="35">
        <v>0.01</v>
      </c>
      <c r="Q50" s="89" t="s">
        <v>63</v>
      </c>
      <c r="R50" s="90"/>
    </row>
    <row r="51" spans="1:18" x14ac:dyDescent="0.2">
      <c r="A51" s="52" t="s">
        <v>27</v>
      </c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94"/>
      <c r="O51" s="94"/>
      <c r="P51" s="94"/>
      <c r="Q51" s="55" t="s">
        <v>32</v>
      </c>
      <c r="R51" s="56">
        <v>0.376</v>
      </c>
    </row>
    <row r="52" spans="1:18" x14ac:dyDescent="0.2">
      <c r="A52" s="91" t="s">
        <v>35</v>
      </c>
      <c r="B52" s="92"/>
      <c r="C52" s="93"/>
      <c r="D52" s="76" t="s">
        <v>31</v>
      </c>
      <c r="E52" s="77"/>
      <c r="F52" s="77"/>
      <c r="G52" s="77"/>
      <c r="H52" s="77"/>
      <c r="I52" s="77"/>
      <c r="J52" s="77"/>
      <c r="K52" s="77"/>
      <c r="L52" s="77"/>
      <c r="M52" s="77"/>
      <c r="N52" s="78"/>
      <c r="O52" s="15" t="s">
        <v>36</v>
      </c>
      <c r="P52" s="35">
        <v>0.08</v>
      </c>
      <c r="Q52" s="89" t="s">
        <v>46</v>
      </c>
      <c r="R52" s="90"/>
    </row>
    <row r="53" spans="1:18" x14ac:dyDescent="0.2">
      <c r="A53" s="52" t="s">
        <v>27</v>
      </c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94"/>
      <c r="O53" s="94"/>
      <c r="P53" s="94"/>
      <c r="Q53" s="55" t="s">
        <v>32</v>
      </c>
      <c r="R53" s="56">
        <v>0.80200000000000005</v>
      </c>
    </row>
    <row r="54" spans="1:18" x14ac:dyDescent="0.2">
      <c r="A54" s="91" t="s">
        <v>40</v>
      </c>
      <c r="B54" s="92"/>
      <c r="C54" s="93"/>
      <c r="D54" s="76" t="s">
        <v>39</v>
      </c>
      <c r="E54" s="77"/>
      <c r="F54" s="77"/>
      <c r="G54" s="77"/>
      <c r="H54" s="77"/>
      <c r="I54" s="77"/>
      <c r="J54" s="77"/>
      <c r="K54" s="77"/>
      <c r="L54" s="77"/>
      <c r="M54" s="77"/>
      <c r="N54" s="78"/>
      <c r="O54" s="15" t="s">
        <v>48</v>
      </c>
      <c r="P54" s="35">
        <v>10</v>
      </c>
      <c r="Q54" s="89" t="s">
        <v>64</v>
      </c>
      <c r="R54" s="90"/>
    </row>
    <row r="55" spans="1:18" x14ac:dyDescent="0.2">
      <c r="A55" s="57" t="s">
        <v>27</v>
      </c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99"/>
      <c r="O55" s="99"/>
      <c r="P55" s="99"/>
      <c r="Q55" s="60" t="s">
        <v>32</v>
      </c>
      <c r="R55" s="61">
        <v>4.1870000000000003</v>
      </c>
    </row>
    <row r="56" spans="1:18" x14ac:dyDescent="0.2">
      <c r="A56" s="91" t="s">
        <v>44</v>
      </c>
      <c r="B56" s="92"/>
      <c r="C56" s="93"/>
      <c r="D56" s="76" t="s">
        <v>65</v>
      </c>
      <c r="E56" s="77"/>
      <c r="F56" s="77"/>
      <c r="G56" s="77"/>
      <c r="H56" s="77"/>
      <c r="I56" s="77"/>
      <c r="J56" s="77"/>
      <c r="K56" s="77"/>
      <c r="L56" s="77"/>
      <c r="M56" s="77"/>
      <c r="N56" s="78"/>
      <c r="O56" s="15" t="s">
        <v>48</v>
      </c>
      <c r="P56" s="67">
        <v>8.0000000000000002E-3</v>
      </c>
      <c r="Q56" s="89"/>
      <c r="R56" s="90"/>
    </row>
    <row r="57" spans="1:18" x14ac:dyDescent="0.2">
      <c r="A57" s="68"/>
      <c r="B57" s="68"/>
      <c r="C57" s="68"/>
      <c r="D57" s="100" t="s">
        <v>66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5" t="s">
        <v>48</v>
      </c>
      <c r="P57" s="35">
        <v>0.01</v>
      </c>
      <c r="Q57" s="101"/>
      <c r="R57" s="101"/>
    </row>
    <row r="58" spans="1:18" x14ac:dyDescent="0.2">
      <c r="A58" s="62" t="s">
        <v>27</v>
      </c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98"/>
      <c r="O58" s="98"/>
      <c r="P58" s="98"/>
      <c r="Q58" s="65" t="s">
        <v>32</v>
      </c>
      <c r="R58" s="66">
        <v>3.5680000000000001</v>
      </c>
    </row>
    <row r="59" spans="1:18" x14ac:dyDescent="0.2">
      <c r="A59" s="91" t="s">
        <v>44</v>
      </c>
      <c r="B59" s="92"/>
      <c r="C59" s="93"/>
      <c r="D59" s="76" t="s">
        <v>31</v>
      </c>
      <c r="E59" s="77"/>
      <c r="F59" s="77"/>
      <c r="G59" s="77"/>
      <c r="H59" s="77"/>
      <c r="I59" s="77"/>
      <c r="J59" s="77"/>
      <c r="K59" s="77"/>
      <c r="L59" s="77"/>
      <c r="M59" s="77"/>
      <c r="N59" s="78"/>
      <c r="O59" s="15" t="s">
        <v>36</v>
      </c>
      <c r="P59" s="35">
        <v>0.08</v>
      </c>
      <c r="Q59" s="89"/>
      <c r="R59" s="90"/>
    </row>
    <row r="60" spans="1:18" x14ac:dyDescent="0.2">
      <c r="A60" s="62" t="s">
        <v>27</v>
      </c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98"/>
      <c r="O60" s="98"/>
      <c r="P60" s="98"/>
      <c r="Q60" s="65" t="s">
        <v>32</v>
      </c>
      <c r="R60" s="66">
        <v>0.80500000000000005</v>
      </c>
    </row>
    <row r="62" spans="1:18" x14ac:dyDescent="0.2">
      <c r="R62" s="69"/>
    </row>
    <row r="63" spans="1:18" x14ac:dyDescent="0.2">
      <c r="L63" s="20"/>
    </row>
  </sheetData>
  <mergeCells count="47">
    <mergeCell ref="N60:P60"/>
    <mergeCell ref="A59:C59"/>
    <mergeCell ref="D59:N59"/>
    <mergeCell ref="Q59:R59"/>
    <mergeCell ref="A54:C54"/>
    <mergeCell ref="D54:N54"/>
    <mergeCell ref="Q54:R54"/>
    <mergeCell ref="N55:P55"/>
    <mergeCell ref="A56:C56"/>
    <mergeCell ref="D56:N56"/>
    <mergeCell ref="Q56:R56"/>
    <mergeCell ref="N58:P58"/>
    <mergeCell ref="D57:N57"/>
    <mergeCell ref="Q57:R57"/>
    <mergeCell ref="N43:P43"/>
    <mergeCell ref="A44:C44"/>
    <mergeCell ref="D44:N44"/>
    <mergeCell ref="Q44:R44"/>
    <mergeCell ref="N45:P45"/>
    <mergeCell ref="A52:C52"/>
    <mergeCell ref="D52:N52"/>
    <mergeCell ref="Q52:R52"/>
    <mergeCell ref="N53:P53"/>
    <mergeCell ref="A46:C46"/>
    <mergeCell ref="D46:N46"/>
    <mergeCell ref="Q46:R46"/>
    <mergeCell ref="N47:P47"/>
    <mergeCell ref="A50:C50"/>
    <mergeCell ref="D50:N50"/>
    <mergeCell ref="Q50:R50"/>
    <mergeCell ref="N51:P51"/>
    <mergeCell ref="A48:C48"/>
    <mergeCell ref="D48:N48"/>
    <mergeCell ref="Q48:R48"/>
    <mergeCell ref="N49:P49"/>
    <mergeCell ref="A4:R4"/>
    <mergeCell ref="D5:F5"/>
    <mergeCell ref="H5:H6"/>
    <mergeCell ref="K5:P5"/>
    <mergeCell ref="Q5:Q6"/>
    <mergeCell ref="A40:P40"/>
    <mergeCell ref="A41:C41"/>
    <mergeCell ref="D41:N41"/>
    <mergeCell ref="Q41:R41"/>
    <mergeCell ref="A42:C42"/>
    <mergeCell ref="D42:N42"/>
    <mergeCell ref="Q42:R42"/>
  </mergeCells>
  <phoneticPr fontId="2" type="noConversion"/>
  <pageMargins left="0.23958333333333334" right="9.375E-2" top="1" bottom="1" header="0.5" footer="0.5"/>
  <pageSetup paperSize="9" orientation="landscape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2015-01-29T06:13:09Z</cp:lastPrinted>
  <dcterms:created xsi:type="dcterms:W3CDTF">2007-02-04T12:22:59Z</dcterms:created>
  <dcterms:modified xsi:type="dcterms:W3CDTF">2015-02-09T10:50:44Z</dcterms:modified>
</cp:coreProperties>
</file>