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4" sheetId="1" r:id="rId1"/>
  </sheets>
  <definedNames>
    <definedName name="_xlnm.Print_Area" localSheetId="0">'2014'!$A$42:$Q$108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L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10000р-материалы на смену домофона
500р.-прибивание метала на парапет</t>
        </r>
      </text>
    </comment>
    <comment ref="L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краска 8 бан. -2000 руб.
кисть мал. 3 шт - 90 руб.</t>
        </r>
      </text>
    </comment>
    <comment ref="L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2570р-краска,олифа,веник
500р-ремонт детс.площадки</t>
        </r>
      </text>
    </comment>
    <comment ref="L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350р-краска
5652-дезинсекция</t>
        </r>
      </text>
    </comment>
    <comment ref="L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564р-олифа
</t>
        </r>
      </text>
    </comment>
    <comment ref="L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80100р-изоляция</t>
        </r>
      </text>
    </comment>
  </commentList>
</comments>
</file>

<file path=xl/sharedStrings.xml><?xml version="1.0" encoding="utf-8"?>
<sst xmlns="http://schemas.openxmlformats.org/spreadsheetml/2006/main" count="256" uniqueCount="120">
  <si>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</si>
  <si>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</si>
  <si>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</si>
  <si>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</si>
  <si>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</si>
  <si>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Ремонт</t>
  </si>
  <si>
    <t xml:space="preserve">сметы </t>
  </si>
  <si>
    <t>Площадь</t>
  </si>
  <si>
    <t xml:space="preserve">Кол-во </t>
  </si>
  <si>
    <t>квар.</t>
  </si>
  <si>
    <t>на конец</t>
  </si>
  <si>
    <t>Расходы</t>
  </si>
  <si>
    <t>Содержание</t>
  </si>
  <si>
    <t>договор ав.</t>
  </si>
  <si>
    <t>Разное</t>
  </si>
  <si>
    <t>февраль</t>
  </si>
  <si>
    <t>март</t>
  </si>
  <si>
    <t>апрель</t>
  </si>
  <si>
    <t>эксплуатац</t>
  </si>
  <si>
    <t>содержание</t>
  </si>
  <si>
    <t>ремонт</t>
  </si>
  <si>
    <t>итого</t>
  </si>
  <si>
    <t>Ген. директор ООО "Георгиевск - ЖЭУ"                                            Никишина И.М.</t>
  </si>
  <si>
    <t>кап.рем</t>
  </si>
  <si>
    <t>подвал</t>
  </si>
  <si>
    <t>тер., под.</t>
  </si>
  <si>
    <t>теплос</t>
  </si>
  <si>
    <t>май</t>
  </si>
  <si>
    <t>июнь</t>
  </si>
  <si>
    <t>Месяц</t>
  </si>
  <si>
    <t>кол-во</t>
  </si>
  <si>
    <t>ИТОГО</t>
  </si>
  <si>
    <t>январь</t>
  </si>
  <si>
    <t>Смена патронов</t>
  </si>
  <si>
    <t>Смена ламп: накаливания</t>
  </si>
  <si>
    <t>100м2</t>
  </si>
  <si>
    <t>июль</t>
  </si>
  <si>
    <t>Ремонт отдельными местами рулонного покрытия с промазкой: битумными составами с заменой 1 слоя</t>
  </si>
  <si>
    <t>август</t>
  </si>
  <si>
    <t>кв.85</t>
  </si>
  <si>
    <t>100м</t>
  </si>
  <si>
    <t>Выкашивание газонов: газонокосилкой</t>
  </si>
  <si>
    <t>100м тр-да</t>
  </si>
  <si>
    <t>сентябрь</t>
  </si>
  <si>
    <t>октябрь</t>
  </si>
  <si>
    <t>Ремонт групповых щитков на лестничной клетке со сменой автоматов</t>
  </si>
  <si>
    <t>100шт</t>
  </si>
  <si>
    <t>ноябрь</t>
  </si>
  <si>
    <t>декабрь</t>
  </si>
  <si>
    <t>Очистка канализационной сети: внутренней</t>
  </si>
  <si>
    <t>ростелеком</t>
  </si>
  <si>
    <t>серди</t>
  </si>
  <si>
    <t>1шт</t>
  </si>
  <si>
    <t>Установка заглушек диаметром трубопроводов: до 100мм</t>
  </si>
  <si>
    <t>Разборка трубопроводов из чугунных канализационных труб диаметром: 100мм</t>
  </si>
  <si>
    <t>Ремонт групповых щитков на лестничной клетке без ремонта автоматов</t>
  </si>
  <si>
    <t>Провод двух- и трехжильный с разделительным основанием по стенам и потолкам, прокладываемый по основаниям: кирпичным</t>
  </si>
  <si>
    <t>дезинсекция</t>
  </si>
  <si>
    <t>Учет доходов и расходов по Быкова 83/1 на 2014 год</t>
  </si>
  <si>
    <t>Место провед-я работ</t>
  </si>
  <si>
    <t>тыс.руб.</t>
  </si>
  <si>
    <t>ед.изм.</t>
  </si>
  <si>
    <t>Перечень выполненных работ по сметам за 2014 год по дому Быкова 83/1</t>
  </si>
  <si>
    <t>Прокладка трубопроводов канализации из полиэтиленовых труб высокой плотности диаметром: 110мм</t>
  </si>
  <si>
    <t>кв.107</t>
  </si>
  <si>
    <t>кв.33 до подвала</t>
  </si>
  <si>
    <t>Разборка трубопроводов из водогазопроводные труб диаметром: до 32мм</t>
  </si>
  <si>
    <t>Прокладка трубопроводов водоснабжения из напорных полиэтиленовых труб низкого давления среднего типа наружным диаметром: 20мм</t>
  </si>
  <si>
    <t>100 заг-к</t>
  </si>
  <si>
    <t>кв.37</t>
  </si>
  <si>
    <t>кв.42</t>
  </si>
  <si>
    <t>Прокладка трубопроводов канализации из полиэтиленовых труб высокой плотности диаметром: 50мм</t>
  </si>
  <si>
    <t>Разборка трубопроводов из чугунных канализационных труб диаметром: 50мм</t>
  </si>
  <si>
    <t>стояк канализация</t>
  </si>
  <si>
    <t>Смена стекол толщиной 4-6мм в деревянных переплетах на штапиках: по замазке при площади стекол до 1,0 м2</t>
  </si>
  <si>
    <t>детская площадка</t>
  </si>
  <si>
    <t>Сварка металлический конструкций</t>
  </si>
  <si>
    <t>100стыков</t>
  </si>
  <si>
    <t>Установка вентилей, задвижек, затворов, клапанов обратных, кранов проходныхна трубопроводах из стальных труб диаметром: 32мм</t>
  </si>
  <si>
    <t>кв.32</t>
  </si>
  <si>
    <t>отопл.</t>
  </si>
  <si>
    <t>Гидравлические испытания трубопроводов систем отопления, водопровода и горячего водоснабжения диаметром: до 100мм</t>
  </si>
  <si>
    <t>кв.75</t>
  </si>
  <si>
    <t>1 под</t>
  </si>
  <si>
    <t>кв.3 стояк отопление</t>
  </si>
  <si>
    <t>Разборка трубопроводов из водогазопроводных труб диаметром: до 32мм</t>
  </si>
  <si>
    <t>Прокладка трубопровдов водоснабжения из напорных полиэтиленовых труб низкого давления среднего типа наружным диаметром: 32мм</t>
  </si>
  <si>
    <t>кв.12</t>
  </si>
  <si>
    <t>3 покоса</t>
  </si>
  <si>
    <t>кв.51</t>
  </si>
  <si>
    <t>Прокладка трубопроводов из многослойных металл-полимерных труб диаметром: 25мм</t>
  </si>
  <si>
    <t>кв.114,89,105,120</t>
  </si>
  <si>
    <t>ИТОГО:</t>
  </si>
  <si>
    <t>Гидравлич.испытания</t>
  </si>
  <si>
    <t>1 вызов</t>
  </si>
  <si>
    <t>подвал канализация</t>
  </si>
  <si>
    <t>Врезка в действующие внутренние сети трубопроводов отопления, канализации водоснабжения диаметром: 50мм</t>
  </si>
  <si>
    <t>1 врезка</t>
  </si>
  <si>
    <t>10000р</t>
  </si>
  <si>
    <t>материалы на смену домофона</t>
  </si>
  <si>
    <t>500р</t>
  </si>
  <si>
    <t>прибили метал на парапет</t>
  </si>
  <si>
    <t>2000р</t>
  </si>
  <si>
    <t>8 банок краски</t>
  </si>
  <si>
    <t>90р</t>
  </si>
  <si>
    <t>кисть мал.3шт</t>
  </si>
  <si>
    <t>2570р</t>
  </si>
  <si>
    <t>краска,олифа,веник</t>
  </si>
  <si>
    <t>ремонт детской площадки</t>
  </si>
  <si>
    <t>350р</t>
  </si>
  <si>
    <t>краска</t>
  </si>
  <si>
    <t>5652р</t>
  </si>
  <si>
    <t>564р</t>
  </si>
  <si>
    <t>олифа</t>
  </si>
  <si>
    <t>80100р</t>
  </si>
  <si>
    <t>изоляция</t>
  </si>
  <si>
    <t>Прокладка канализации</t>
  </si>
  <si>
    <t>Установка вентилей</t>
  </si>
  <si>
    <t>Разборка трубопроводов</t>
  </si>
  <si>
    <t>ИТОГО за 2014 год: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</si>
</sst>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0.000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_р_._-;\-* #,##0.000_р_._-;_-* &quot;-&quot;?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#,##0.000_р_."/>
    <numFmt numFmtId="177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6AEF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1" fillId="4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1" fillId="5" borderId="10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164" fontId="1" fillId="32" borderId="10" xfId="0" applyNumberFormat="1" applyFont="1" applyFill="1" applyBorder="1" applyAlignment="1">
      <alignment horizontal="right"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164" fontId="1" fillId="4" borderId="14" xfId="0" applyNumberFormat="1" applyFont="1" applyFill="1" applyBorder="1" applyAlignment="1">
      <alignment/>
    </xf>
    <xf numFmtId="2" fontId="1" fillId="5" borderId="17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4" fontId="1" fillId="5" borderId="10" xfId="0" applyNumberFormat="1" applyFont="1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35" borderId="19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170" fontId="5" fillId="35" borderId="19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 horizontal="left"/>
    </xf>
    <xf numFmtId="2" fontId="5" fillId="36" borderId="12" xfId="0" applyNumberFormat="1" applyFont="1" applyFill="1" applyBorder="1" applyAlignment="1">
      <alignment/>
    </xf>
    <xf numFmtId="2" fontId="5" fillId="36" borderId="18" xfId="0" applyNumberFormat="1" applyFont="1" applyFill="1" applyBorder="1" applyAlignment="1">
      <alignment/>
    </xf>
    <xf numFmtId="170" fontId="5" fillId="36" borderId="19" xfId="0" applyNumberFormat="1" applyFont="1" applyFill="1" applyBorder="1" applyAlignment="1">
      <alignment/>
    </xf>
    <xf numFmtId="2" fontId="5" fillId="37" borderId="12" xfId="0" applyNumberFormat="1" applyFont="1" applyFill="1" applyBorder="1" applyAlignment="1">
      <alignment/>
    </xf>
    <xf numFmtId="2" fontId="5" fillId="37" borderId="18" xfId="0" applyNumberFormat="1" applyFont="1" applyFill="1" applyBorder="1" applyAlignment="1">
      <alignment/>
    </xf>
    <xf numFmtId="170" fontId="5" fillId="37" borderId="19" xfId="0" applyNumberFormat="1" applyFont="1" applyFill="1" applyBorder="1" applyAlignment="1">
      <alignment/>
    </xf>
    <xf numFmtId="0" fontId="5" fillId="37" borderId="10" xfId="0" applyNumberFormat="1" applyFont="1" applyFill="1" applyBorder="1" applyAlignment="1">
      <alignment horizontal="left"/>
    </xf>
    <xf numFmtId="0" fontId="5" fillId="8" borderId="10" xfId="0" applyNumberFormat="1" applyFont="1" applyFill="1" applyBorder="1" applyAlignment="1">
      <alignment horizontal="left"/>
    </xf>
    <xf numFmtId="2" fontId="5" fillId="8" borderId="12" xfId="0" applyNumberFormat="1" applyFont="1" applyFill="1" applyBorder="1" applyAlignment="1">
      <alignment/>
    </xf>
    <xf numFmtId="2" fontId="5" fillId="8" borderId="18" xfId="0" applyNumberFormat="1" applyFont="1" applyFill="1" applyBorder="1" applyAlignment="1">
      <alignment/>
    </xf>
    <xf numFmtId="170" fontId="5" fillId="8" borderId="19" xfId="0" applyNumberFormat="1" applyFont="1" applyFill="1" applyBorder="1" applyAlignment="1">
      <alignment/>
    </xf>
    <xf numFmtId="0" fontId="5" fillId="38" borderId="10" xfId="0" applyNumberFormat="1" applyFont="1" applyFill="1" applyBorder="1" applyAlignment="1">
      <alignment horizontal="left"/>
    </xf>
    <xf numFmtId="2" fontId="5" fillId="38" borderId="12" xfId="0" applyNumberFormat="1" applyFont="1" applyFill="1" applyBorder="1" applyAlignment="1">
      <alignment/>
    </xf>
    <xf numFmtId="2" fontId="5" fillId="38" borderId="18" xfId="0" applyNumberFormat="1" applyFont="1" applyFill="1" applyBorder="1" applyAlignment="1">
      <alignment/>
    </xf>
    <xf numFmtId="170" fontId="5" fillId="38" borderId="19" xfId="0" applyNumberFormat="1" applyFont="1" applyFill="1" applyBorder="1" applyAlignment="1">
      <alignment/>
    </xf>
    <xf numFmtId="0" fontId="5" fillId="39" borderId="10" xfId="0" applyNumberFormat="1" applyFont="1" applyFill="1" applyBorder="1" applyAlignment="1">
      <alignment horizontal="left"/>
    </xf>
    <xf numFmtId="2" fontId="5" fillId="39" borderId="12" xfId="0" applyNumberFormat="1" applyFont="1" applyFill="1" applyBorder="1" applyAlignment="1">
      <alignment/>
    </xf>
    <xf numFmtId="2" fontId="5" fillId="39" borderId="18" xfId="0" applyNumberFormat="1" applyFont="1" applyFill="1" applyBorder="1" applyAlignment="1">
      <alignment/>
    </xf>
    <xf numFmtId="170" fontId="5" fillId="39" borderId="19" xfId="0" applyNumberFormat="1" applyFont="1" applyFill="1" applyBorder="1" applyAlignment="1">
      <alignment/>
    </xf>
    <xf numFmtId="0" fontId="5" fillId="17" borderId="10" xfId="0" applyNumberFormat="1" applyFont="1" applyFill="1" applyBorder="1" applyAlignment="1">
      <alignment horizontal="left"/>
    </xf>
    <xf numFmtId="2" fontId="5" fillId="17" borderId="12" xfId="0" applyNumberFormat="1" applyFont="1" applyFill="1" applyBorder="1" applyAlignment="1">
      <alignment/>
    </xf>
    <xf numFmtId="2" fontId="5" fillId="17" borderId="18" xfId="0" applyNumberFormat="1" applyFont="1" applyFill="1" applyBorder="1" applyAlignment="1">
      <alignment/>
    </xf>
    <xf numFmtId="170" fontId="5" fillId="17" borderId="19" xfId="0" applyNumberFormat="1" applyFont="1" applyFill="1" applyBorder="1" applyAlignment="1">
      <alignment/>
    </xf>
    <xf numFmtId="0" fontId="5" fillId="11" borderId="10" xfId="0" applyNumberFormat="1" applyFont="1" applyFill="1" applyBorder="1" applyAlignment="1">
      <alignment horizontal="left"/>
    </xf>
    <xf numFmtId="2" fontId="5" fillId="11" borderId="12" xfId="0" applyNumberFormat="1" applyFont="1" applyFill="1" applyBorder="1" applyAlignment="1">
      <alignment/>
    </xf>
    <xf numFmtId="2" fontId="5" fillId="11" borderId="18" xfId="0" applyNumberFormat="1" applyFont="1" applyFill="1" applyBorder="1" applyAlignment="1">
      <alignment/>
    </xf>
    <xf numFmtId="170" fontId="5" fillId="11" borderId="19" xfId="0" applyNumberFormat="1" applyFont="1" applyFill="1" applyBorder="1" applyAlignment="1">
      <alignment/>
    </xf>
    <xf numFmtId="2" fontId="5" fillId="17" borderId="18" xfId="0" applyNumberFormat="1" applyFont="1" applyFill="1" applyBorder="1" applyAlignment="1">
      <alignment horizontal="left"/>
    </xf>
    <xf numFmtId="0" fontId="5" fillId="13" borderId="10" xfId="0" applyNumberFormat="1" applyFont="1" applyFill="1" applyBorder="1" applyAlignment="1">
      <alignment horizontal="left"/>
    </xf>
    <xf numFmtId="2" fontId="5" fillId="13" borderId="12" xfId="0" applyNumberFormat="1" applyFont="1" applyFill="1" applyBorder="1" applyAlignment="1">
      <alignment/>
    </xf>
    <xf numFmtId="2" fontId="5" fillId="13" borderId="18" xfId="0" applyNumberFormat="1" applyFont="1" applyFill="1" applyBorder="1" applyAlignment="1">
      <alignment/>
    </xf>
    <xf numFmtId="170" fontId="5" fillId="13" borderId="1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2" borderId="1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7" fontId="5" fillId="35" borderId="0" xfId="0" applyNumberFormat="1" applyFont="1" applyFill="1" applyAlignment="1">
      <alignment/>
    </xf>
    <xf numFmtId="0" fontId="5" fillId="40" borderId="10" xfId="0" applyNumberFormat="1" applyFont="1" applyFill="1" applyBorder="1" applyAlignment="1">
      <alignment horizontal="left"/>
    </xf>
    <xf numFmtId="2" fontId="5" fillId="40" borderId="12" xfId="0" applyNumberFormat="1" applyFont="1" applyFill="1" applyBorder="1" applyAlignment="1">
      <alignment/>
    </xf>
    <xf numFmtId="2" fontId="5" fillId="40" borderId="18" xfId="0" applyNumberFormat="1" applyFont="1" applyFill="1" applyBorder="1" applyAlignment="1">
      <alignment/>
    </xf>
    <xf numFmtId="170" fontId="5" fillId="40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4" fillId="4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left" wrapText="1"/>
    </xf>
    <xf numFmtId="164" fontId="0" fillId="0" borderId="10" xfId="0" applyNumberFormat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2" fontId="5" fillId="13" borderId="18" xfId="0" applyNumberFormat="1" applyFont="1" applyFill="1" applyBorder="1" applyAlignment="1">
      <alignment horizontal="center"/>
    </xf>
    <xf numFmtId="2" fontId="5" fillId="11" borderId="18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left" wrapText="1"/>
    </xf>
    <xf numFmtId="2" fontId="5" fillId="17" borderId="18" xfId="0" applyNumberFormat="1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center"/>
    </xf>
    <xf numFmtId="2" fontId="5" fillId="8" borderId="18" xfId="0" applyNumberFormat="1" applyFont="1" applyFill="1" applyBorder="1" applyAlignment="1">
      <alignment horizontal="center"/>
    </xf>
    <xf numFmtId="2" fontId="5" fillId="36" borderId="18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6" borderId="23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39" borderId="18" xfId="0" applyNumberFormat="1" applyFont="1" applyFill="1" applyBorder="1" applyAlignment="1">
      <alignment horizontal="center"/>
    </xf>
    <xf numFmtId="2" fontId="5" fillId="40" borderId="18" xfId="0" applyNumberFormat="1" applyFont="1" applyFill="1" applyBorder="1" applyAlignment="1">
      <alignment horizontal="center"/>
    </xf>
    <xf numFmtId="177" fontId="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4:T108"/>
  <sheetViews>
    <sheetView tabSelected="1" workbookViewId="0" topLeftCell="A2">
      <selection activeCell="O35" sqref="O35"/>
    </sheetView>
  </sheetViews>
  <sheetFormatPr defaultColWidth="9.00390625" defaultRowHeight="12.75"/>
  <cols>
    <col min="1" max="1" width="4.125" style="0" customWidth="1"/>
    <col min="2" max="2" width="3.875" style="0" customWidth="1"/>
    <col min="3" max="3" width="2.125" style="0" customWidth="1"/>
    <col min="4" max="4" width="10.00390625" style="0" customWidth="1"/>
    <col min="5" max="5" width="9.875" style="0" customWidth="1"/>
    <col min="6" max="6" width="8.875" style="0" customWidth="1"/>
    <col min="7" max="7" width="9.375" style="0" customWidth="1"/>
    <col min="10" max="10" width="9.875" style="0" customWidth="1"/>
    <col min="11" max="11" width="9.125" style="0" customWidth="1"/>
    <col min="12" max="12" width="9.875" style="0" customWidth="1"/>
    <col min="13" max="13" width="10.125" style="0" bestFit="1" customWidth="1"/>
    <col min="14" max="14" width="9.75390625" style="0" customWidth="1"/>
    <col min="15" max="15" width="10.00390625" style="0" customWidth="1"/>
    <col min="16" max="16" width="9.75390625" style="0" customWidth="1"/>
    <col min="17" max="17" width="8.875" style="0" customWidth="1"/>
    <col min="18" max="18" width="9.625" style="0" bestFit="1" customWidth="1"/>
  </cols>
  <sheetData>
    <row r="4" spans="1:17" ht="12.75">
      <c r="A4" s="101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9"/>
    </row>
    <row r="5" spans="1:17" ht="12.75">
      <c r="A5" s="5"/>
      <c r="B5" s="6" t="s">
        <v>7</v>
      </c>
      <c r="C5" s="7" t="s">
        <v>8</v>
      </c>
      <c r="D5" s="95" t="s">
        <v>1</v>
      </c>
      <c r="E5" s="96"/>
      <c r="F5" s="97"/>
      <c r="G5" s="8" t="s">
        <v>2</v>
      </c>
      <c r="H5" s="93" t="s">
        <v>4</v>
      </c>
      <c r="I5" s="8" t="s">
        <v>12</v>
      </c>
      <c r="J5" s="10" t="s">
        <v>5</v>
      </c>
      <c r="K5" s="10" t="s">
        <v>12</v>
      </c>
      <c r="L5" s="96"/>
      <c r="M5" s="96"/>
      <c r="N5" s="97"/>
      <c r="O5" s="93" t="s">
        <v>11</v>
      </c>
      <c r="P5" s="9" t="s">
        <v>0</v>
      </c>
      <c r="Q5" s="11" t="s">
        <v>23</v>
      </c>
    </row>
    <row r="6" spans="1:17" ht="13.5" thickBot="1">
      <c r="A6" s="5"/>
      <c r="B6" s="12"/>
      <c r="C6" s="13" t="s">
        <v>9</v>
      </c>
      <c r="D6" s="14" t="s">
        <v>19</v>
      </c>
      <c r="E6" s="14" t="s">
        <v>20</v>
      </c>
      <c r="F6" s="14" t="s">
        <v>21</v>
      </c>
      <c r="G6" s="14" t="s">
        <v>3</v>
      </c>
      <c r="H6" s="94"/>
      <c r="I6" s="14" t="s">
        <v>25</v>
      </c>
      <c r="J6" s="8" t="s">
        <v>6</v>
      </c>
      <c r="K6" s="15" t="s">
        <v>13</v>
      </c>
      <c r="L6" s="14" t="s">
        <v>14</v>
      </c>
      <c r="M6" s="14" t="s">
        <v>26</v>
      </c>
      <c r="N6" s="14" t="s">
        <v>18</v>
      </c>
      <c r="O6" s="94"/>
      <c r="P6" s="12" t="s">
        <v>10</v>
      </c>
      <c r="Q6" s="11"/>
    </row>
    <row r="7" spans="1:17" ht="13.5" thickBot="1">
      <c r="A7" s="5"/>
      <c r="B7" s="12"/>
      <c r="C7" s="13"/>
      <c r="D7" s="14"/>
      <c r="E7" s="27"/>
      <c r="F7" s="30">
        <v>53663.17</v>
      </c>
      <c r="G7" s="28"/>
      <c r="H7" s="20"/>
      <c r="I7" s="14"/>
      <c r="J7" s="14"/>
      <c r="K7" s="15"/>
      <c r="L7" s="14"/>
      <c r="M7" s="14"/>
      <c r="N7" s="14"/>
      <c r="O7" s="20"/>
      <c r="P7" s="12"/>
      <c r="Q7" s="23">
        <v>42666.13</v>
      </c>
    </row>
    <row r="8" spans="1:17" ht="12.75">
      <c r="A8" s="16" t="s">
        <v>32</v>
      </c>
      <c r="B8" s="16"/>
      <c r="C8" s="17"/>
      <c r="D8" s="2">
        <f>20868.21+10177.94+619.5</f>
        <v>31665.65</v>
      </c>
      <c r="E8" s="2">
        <f>5791.4+2867.2+165.2</f>
        <v>8823.8</v>
      </c>
      <c r="F8" s="29">
        <f aca="true" t="shared" si="0" ref="F8:F21">SUM(D8:E8)</f>
        <v>40489.45</v>
      </c>
      <c r="G8" s="3">
        <f aca="true" t="shared" si="1" ref="G8:G19">F8*0.03</f>
        <v>1214.6834999999999</v>
      </c>
      <c r="H8" s="3">
        <f aca="true" t="shared" si="2" ref="H8:H21">F8*0.06</f>
        <v>2429.3669999999997</v>
      </c>
      <c r="I8" s="4">
        <v>4588</v>
      </c>
      <c r="J8" s="26">
        <f>7938+25602+890</f>
        <v>34430</v>
      </c>
      <c r="K8" s="4">
        <v>6093.86</v>
      </c>
      <c r="L8" s="4">
        <v>4140</v>
      </c>
      <c r="M8" s="4">
        <v>1372</v>
      </c>
      <c r="N8" s="4">
        <f aca="true" t="shared" si="3" ref="N8:N21">SUM(F8*0.15)</f>
        <v>6073.4175</v>
      </c>
      <c r="O8" s="4">
        <f aca="true" t="shared" si="4" ref="O8:O21">G8+H8+I8+J8+K8+L8+M8+N8</f>
        <v>60341.327999999994</v>
      </c>
      <c r="P8" s="18">
        <f aca="true" t="shared" si="5" ref="P8:P21">F8-O8</f>
        <v>-19851.877999999997</v>
      </c>
      <c r="Q8" s="11">
        <v>0</v>
      </c>
    </row>
    <row r="9" spans="1:17" ht="12.75">
      <c r="A9" s="16" t="s">
        <v>15</v>
      </c>
      <c r="B9" s="16"/>
      <c r="C9" s="17"/>
      <c r="D9" s="2">
        <f>22092.95+10610.68+2553.5</f>
        <v>35257.130000000005</v>
      </c>
      <c r="E9" s="2">
        <f>5958+3032.47+752.6</f>
        <v>9743.07</v>
      </c>
      <c r="F9" s="29">
        <f t="shared" si="0"/>
        <v>45000.200000000004</v>
      </c>
      <c r="G9" s="3">
        <f t="shared" si="1"/>
        <v>1350.006</v>
      </c>
      <c r="H9" s="3">
        <f t="shared" si="2"/>
        <v>2700.012</v>
      </c>
      <c r="I9" s="4">
        <v>4588</v>
      </c>
      <c r="J9" s="26">
        <f>376</f>
        <v>376</v>
      </c>
      <c r="K9" s="4">
        <v>6093.86</v>
      </c>
      <c r="L9" s="4">
        <v>4140</v>
      </c>
      <c r="M9" s="4">
        <v>1372</v>
      </c>
      <c r="N9" s="4">
        <f t="shared" si="3"/>
        <v>6750.030000000001</v>
      </c>
      <c r="O9" s="4">
        <f t="shared" si="4"/>
        <v>27369.908000000003</v>
      </c>
      <c r="P9" s="18">
        <f t="shared" si="5"/>
        <v>17630.292</v>
      </c>
      <c r="Q9" s="11">
        <v>0</v>
      </c>
    </row>
    <row r="10" spans="1:17" ht="12.75">
      <c r="A10" s="16" t="s">
        <v>16</v>
      </c>
      <c r="B10" s="16"/>
      <c r="C10" s="17"/>
      <c r="D10" s="2">
        <f>21408.47+243.75+10217.42+4978.5</f>
        <v>36848.14</v>
      </c>
      <c r="E10" s="2">
        <f>6035.8+65+2884.6+1327.6</f>
        <v>10313</v>
      </c>
      <c r="F10" s="29">
        <f t="shared" si="0"/>
        <v>47161.14</v>
      </c>
      <c r="G10" s="3">
        <f t="shared" si="1"/>
        <v>1414.8342</v>
      </c>
      <c r="H10" s="3">
        <f t="shared" si="2"/>
        <v>2829.6684</v>
      </c>
      <c r="I10" s="4">
        <v>4588</v>
      </c>
      <c r="J10" s="26">
        <f>376+546</f>
        <v>922</v>
      </c>
      <c r="K10" s="4">
        <v>6093.86</v>
      </c>
      <c r="L10" s="4">
        <f>4140+10000+500</f>
        <v>14640</v>
      </c>
      <c r="M10" s="4">
        <v>1372</v>
      </c>
      <c r="N10" s="4">
        <f t="shared" si="3"/>
        <v>7074.170999999999</v>
      </c>
      <c r="O10" s="4">
        <f t="shared" si="4"/>
        <v>38934.5336</v>
      </c>
      <c r="P10" s="18">
        <f t="shared" si="5"/>
        <v>8226.606399999997</v>
      </c>
      <c r="Q10" s="11">
        <v>0</v>
      </c>
    </row>
    <row r="11" spans="1:17" ht="12.75">
      <c r="A11" s="16" t="s">
        <v>17</v>
      </c>
      <c r="B11" s="16"/>
      <c r="C11" s="17"/>
      <c r="D11" s="2">
        <f>18055.55+10178.65+5934.75</f>
        <v>34168.95</v>
      </c>
      <c r="E11" s="2">
        <f>5003.4+2987.8+2117.3</f>
        <v>10108.5</v>
      </c>
      <c r="F11" s="29">
        <f t="shared" si="0"/>
        <v>44277.45</v>
      </c>
      <c r="G11" s="3">
        <f t="shared" si="1"/>
        <v>1328.3235</v>
      </c>
      <c r="H11" s="3">
        <f t="shared" si="2"/>
        <v>2656.647</v>
      </c>
      <c r="I11" s="4">
        <v>4588</v>
      </c>
      <c r="J11" s="26">
        <v>0</v>
      </c>
      <c r="K11" s="4">
        <v>6093.86</v>
      </c>
      <c r="L11" s="4">
        <v>4140</v>
      </c>
      <c r="M11" s="4">
        <v>1372</v>
      </c>
      <c r="N11" s="4">
        <f t="shared" si="3"/>
        <v>6641.617499999999</v>
      </c>
      <c r="O11" s="4">
        <f t="shared" si="4"/>
        <v>26820.448</v>
      </c>
      <c r="P11" s="18">
        <f t="shared" si="5"/>
        <v>17457.001999999997</v>
      </c>
      <c r="Q11" s="11">
        <v>0</v>
      </c>
    </row>
    <row r="12" spans="1:17" ht="12.75">
      <c r="A12" s="16" t="s">
        <v>27</v>
      </c>
      <c r="B12" s="16"/>
      <c r="C12" s="17"/>
      <c r="D12" s="2">
        <f>22300.57+487.5+6744.88+13364.33</f>
        <v>42897.28</v>
      </c>
      <c r="E12" s="2">
        <f>5760.32+130+1958.6+3260.4</f>
        <v>11109.32</v>
      </c>
      <c r="F12" s="29">
        <f t="shared" si="0"/>
        <v>54006.6</v>
      </c>
      <c r="G12" s="3">
        <f t="shared" si="1"/>
        <v>1620.1979999999999</v>
      </c>
      <c r="H12" s="3">
        <f t="shared" si="2"/>
        <v>3240.3959999999997</v>
      </c>
      <c r="I12" s="4">
        <v>4588</v>
      </c>
      <c r="J12" s="26">
        <f>547+22954+4359</f>
        <v>27860</v>
      </c>
      <c r="K12" s="4">
        <v>6093.86</v>
      </c>
      <c r="L12" s="4">
        <f>4140+2000+90</f>
        <v>6230</v>
      </c>
      <c r="M12" s="4">
        <v>0</v>
      </c>
      <c r="N12" s="4">
        <f t="shared" si="3"/>
        <v>8100.99</v>
      </c>
      <c r="O12" s="4">
        <f t="shared" si="4"/>
        <v>57733.443999999996</v>
      </c>
      <c r="P12" s="18">
        <f t="shared" si="5"/>
        <v>-3726.8439999999973</v>
      </c>
      <c r="Q12" s="11">
        <v>0</v>
      </c>
    </row>
    <row r="13" spans="1:17" ht="12.75">
      <c r="A13" s="16" t="s">
        <v>28</v>
      </c>
      <c r="B13" s="16"/>
      <c r="C13" s="17"/>
      <c r="D13" s="2">
        <f>26119.06+7475.15+16450.38</f>
        <v>50044.59</v>
      </c>
      <c r="E13" s="2">
        <f>6710.88+2260+4681.4</f>
        <v>13652.28</v>
      </c>
      <c r="F13" s="29">
        <f t="shared" si="0"/>
        <v>63696.869999999995</v>
      </c>
      <c r="G13" s="3">
        <f t="shared" si="1"/>
        <v>1910.9060999999997</v>
      </c>
      <c r="H13" s="3">
        <f t="shared" si="2"/>
        <v>3821.8121999999994</v>
      </c>
      <c r="I13" s="4">
        <v>4588</v>
      </c>
      <c r="J13" s="26">
        <v>1272</v>
      </c>
      <c r="K13" s="4">
        <v>6093.86</v>
      </c>
      <c r="L13" s="4">
        <f>4140+2570+500</f>
        <v>7210</v>
      </c>
      <c r="M13" s="4">
        <v>0</v>
      </c>
      <c r="N13" s="4">
        <f t="shared" si="3"/>
        <v>9554.530499999999</v>
      </c>
      <c r="O13" s="4">
        <f t="shared" si="4"/>
        <v>34451.108799999995</v>
      </c>
      <c r="P13" s="18">
        <f t="shared" si="5"/>
        <v>29245.7612</v>
      </c>
      <c r="Q13" s="11">
        <v>0</v>
      </c>
    </row>
    <row r="14" spans="1:17" ht="12.75">
      <c r="A14" s="16" t="s">
        <v>36</v>
      </c>
      <c r="B14" s="16"/>
      <c r="C14" s="17"/>
      <c r="D14" s="2">
        <f>24920.83+7351.86+6303.74</f>
        <v>38576.43</v>
      </c>
      <c r="E14" s="2">
        <f>6575.33+2173.8+1734.2</f>
        <v>10483.330000000002</v>
      </c>
      <c r="F14" s="29">
        <f t="shared" si="0"/>
        <v>49059.76</v>
      </c>
      <c r="G14" s="3">
        <f t="shared" si="1"/>
        <v>1471.7928</v>
      </c>
      <c r="H14" s="3">
        <f t="shared" si="2"/>
        <v>2943.5856</v>
      </c>
      <c r="I14" s="4">
        <v>4588</v>
      </c>
      <c r="J14" s="26">
        <f>776</f>
        <v>776</v>
      </c>
      <c r="K14" s="4">
        <v>6093.86</v>
      </c>
      <c r="L14" s="4">
        <f>4140+350+5652</f>
        <v>10142</v>
      </c>
      <c r="M14" s="4">
        <v>0</v>
      </c>
      <c r="N14" s="4">
        <f t="shared" si="3"/>
        <v>7358.964</v>
      </c>
      <c r="O14" s="4">
        <f t="shared" si="4"/>
        <v>33374.202399999995</v>
      </c>
      <c r="P14" s="18">
        <f t="shared" si="5"/>
        <v>15685.557600000007</v>
      </c>
      <c r="Q14" s="11">
        <v>0</v>
      </c>
    </row>
    <row r="15" spans="1:17" ht="12.75">
      <c r="A15" s="16" t="s">
        <v>38</v>
      </c>
      <c r="B15" s="16"/>
      <c r="C15" s="17"/>
      <c r="D15" s="2">
        <f>31447.1+12432.26</f>
        <v>43879.36</v>
      </c>
      <c r="E15" s="2">
        <f>8506.67+3372.57</f>
        <v>11879.24</v>
      </c>
      <c r="F15" s="29">
        <f t="shared" si="0"/>
        <v>55758.6</v>
      </c>
      <c r="G15" s="3">
        <f t="shared" si="1"/>
        <v>1672.7579999999998</v>
      </c>
      <c r="H15" s="3">
        <f t="shared" si="2"/>
        <v>3345.5159999999996</v>
      </c>
      <c r="I15" s="4">
        <v>4588</v>
      </c>
      <c r="J15" s="26">
        <f>1505+802</f>
        <v>2307</v>
      </c>
      <c r="K15" s="4">
        <v>6093.86</v>
      </c>
      <c r="L15" s="4">
        <f>4140+564</f>
        <v>4704</v>
      </c>
      <c r="M15" s="4">
        <v>0</v>
      </c>
      <c r="N15" s="4">
        <f t="shared" si="3"/>
        <v>8363.789999999999</v>
      </c>
      <c r="O15" s="4">
        <f t="shared" si="4"/>
        <v>31074.924</v>
      </c>
      <c r="P15" s="18">
        <f t="shared" si="5"/>
        <v>24683.676</v>
      </c>
      <c r="Q15" s="11">
        <v>0</v>
      </c>
    </row>
    <row r="16" spans="1:17" ht="12.75">
      <c r="A16" s="16" t="s">
        <v>43</v>
      </c>
      <c r="B16" s="16"/>
      <c r="C16" s="17"/>
      <c r="D16" s="2">
        <f>23666+10236.19</f>
        <v>33902.19</v>
      </c>
      <c r="E16" s="2">
        <f>6743+2904.53</f>
        <v>9647.53</v>
      </c>
      <c r="F16" s="29">
        <f t="shared" si="0"/>
        <v>43549.72</v>
      </c>
      <c r="G16" s="3">
        <f t="shared" si="1"/>
        <v>1306.4916</v>
      </c>
      <c r="H16" s="3">
        <f t="shared" si="2"/>
        <v>2612.9832</v>
      </c>
      <c r="I16" s="4">
        <v>4588</v>
      </c>
      <c r="J16" s="26">
        <f>24439+135+9140</f>
        <v>33714</v>
      </c>
      <c r="K16" s="4">
        <v>6093.86</v>
      </c>
      <c r="L16" s="4">
        <v>4140</v>
      </c>
      <c r="M16" s="4">
        <v>0</v>
      </c>
      <c r="N16" s="4">
        <f t="shared" si="3"/>
        <v>6532.458</v>
      </c>
      <c r="O16" s="4">
        <f t="shared" si="4"/>
        <v>58987.792799999996</v>
      </c>
      <c r="P16" s="18">
        <f t="shared" si="5"/>
        <v>-15438.072799999994</v>
      </c>
      <c r="Q16" s="11">
        <v>0</v>
      </c>
    </row>
    <row r="17" spans="1:17" ht="12.75">
      <c r="A17" s="16" t="s">
        <v>44</v>
      </c>
      <c r="B17" s="16"/>
      <c r="C17" s="17"/>
      <c r="D17" s="2">
        <f>28750.13+9666.75</f>
        <v>38416.880000000005</v>
      </c>
      <c r="E17" s="2">
        <f>7908.4+2577.8</f>
        <v>10486.2</v>
      </c>
      <c r="F17" s="29">
        <f t="shared" si="0"/>
        <v>48903.08</v>
      </c>
      <c r="G17" s="3">
        <f t="shared" si="1"/>
        <v>1467.0924</v>
      </c>
      <c r="H17" s="3">
        <f t="shared" si="2"/>
        <v>2934.1848</v>
      </c>
      <c r="I17" s="4">
        <v>4588</v>
      </c>
      <c r="J17" s="26">
        <f>832+2582+24039</f>
        <v>27453</v>
      </c>
      <c r="K17" s="4">
        <v>6093.86</v>
      </c>
      <c r="L17" s="4">
        <v>4140</v>
      </c>
      <c r="M17" s="4">
        <v>1372</v>
      </c>
      <c r="N17" s="4">
        <f t="shared" si="3"/>
        <v>7335.462</v>
      </c>
      <c r="O17" s="4">
        <f t="shared" si="4"/>
        <v>55383.5992</v>
      </c>
      <c r="P17" s="18">
        <f t="shared" si="5"/>
        <v>-6480.519199999995</v>
      </c>
      <c r="Q17" s="11">
        <v>0</v>
      </c>
    </row>
    <row r="18" spans="1:17" ht="12.75">
      <c r="A18" s="16" t="s">
        <v>47</v>
      </c>
      <c r="B18" s="16"/>
      <c r="C18" s="17"/>
      <c r="D18" s="2">
        <f>28217.02+6650.27</f>
        <v>34867.29</v>
      </c>
      <c r="E18" s="2">
        <f>7890.1+1838.2</f>
        <v>9728.300000000001</v>
      </c>
      <c r="F18" s="29">
        <f t="shared" si="0"/>
        <v>44595.590000000004</v>
      </c>
      <c r="G18" s="3">
        <f t="shared" si="1"/>
        <v>1337.8677</v>
      </c>
      <c r="H18" s="3">
        <f t="shared" si="2"/>
        <v>2675.7354</v>
      </c>
      <c r="I18" s="4">
        <v>4588</v>
      </c>
      <c r="J18" s="26">
        <f>832+3358</f>
        <v>4190</v>
      </c>
      <c r="K18" s="4">
        <v>6093.86</v>
      </c>
      <c r="L18" s="4">
        <f>4140+80100</f>
        <v>84240</v>
      </c>
      <c r="M18" s="4">
        <v>1372</v>
      </c>
      <c r="N18" s="4">
        <f t="shared" si="3"/>
        <v>6689.338500000001</v>
      </c>
      <c r="O18" s="4">
        <f t="shared" si="4"/>
        <v>111186.80159999999</v>
      </c>
      <c r="P18" s="18">
        <f t="shared" si="5"/>
        <v>-66591.21159999998</v>
      </c>
      <c r="Q18" s="11">
        <v>0</v>
      </c>
    </row>
    <row r="19" spans="1:17" ht="12.75">
      <c r="A19" s="16" t="s">
        <v>48</v>
      </c>
      <c r="B19" s="16"/>
      <c r="C19" s="17"/>
      <c r="D19" s="2">
        <f>32878.25+6373.76</f>
        <v>39252.01</v>
      </c>
      <c r="E19" s="2">
        <f>9699.1+1886.2</f>
        <v>11585.300000000001</v>
      </c>
      <c r="F19" s="29">
        <f t="shared" si="0"/>
        <v>50837.310000000005</v>
      </c>
      <c r="G19" s="3">
        <f t="shared" si="1"/>
        <v>1525.1193</v>
      </c>
      <c r="H19" s="3">
        <f t="shared" si="2"/>
        <v>3050.2386</v>
      </c>
      <c r="I19" s="4">
        <v>4588</v>
      </c>
      <c r="J19" s="26">
        <v>805</v>
      </c>
      <c r="K19" s="4">
        <v>6093.86</v>
      </c>
      <c r="L19" s="4">
        <v>4140</v>
      </c>
      <c r="M19" s="4">
        <v>1372</v>
      </c>
      <c r="N19" s="4">
        <f t="shared" si="3"/>
        <v>7625.596500000001</v>
      </c>
      <c r="O19" s="4">
        <f t="shared" si="4"/>
        <v>29199.8144</v>
      </c>
      <c r="P19" s="18">
        <f t="shared" si="5"/>
        <v>21637.495600000006</v>
      </c>
      <c r="Q19" s="11">
        <v>0</v>
      </c>
    </row>
    <row r="20" spans="1:17" ht="12.75">
      <c r="A20" s="39" t="s">
        <v>50</v>
      </c>
      <c r="B20" s="39"/>
      <c r="C20" s="40"/>
      <c r="D20" s="2">
        <f>1800+1800+1800+1800</f>
        <v>7200</v>
      </c>
      <c r="E20" s="2">
        <v>0</v>
      </c>
      <c r="F20" s="29">
        <f t="shared" si="0"/>
        <v>7200</v>
      </c>
      <c r="G20" s="3">
        <v>0</v>
      </c>
      <c r="H20" s="3">
        <f t="shared" si="2"/>
        <v>432</v>
      </c>
      <c r="I20" s="4">
        <v>0</v>
      </c>
      <c r="J20" s="26">
        <v>0</v>
      </c>
      <c r="K20" s="4">
        <v>0</v>
      </c>
      <c r="L20" s="4">
        <v>0</v>
      </c>
      <c r="M20" s="4">
        <v>0</v>
      </c>
      <c r="N20" s="4">
        <f t="shared" si="3"/>
        <v>1080</v>
      </c>
      <c r="O20" s="4">
        <f t="shared" si="4"/>
        <v>1512</v>
      </c>
      <c r="P20" s="18">
        <f t="shared" si="5"/>
        <v>5688</v>
      </c>
      <c r="Q20" s="11">
        <v>0</v>
      </c>
    </row>
    <row r="21" spans="1:17" ht="12.75">
      <c r="A21" s="39" t="s">
        <v>51</v>
      </c>
      <c r="B21" s="39"/>
      <c r="C21" s="40"/>
      <c r="D21" s="2">
        <f>280.2+280.2+280.2+280.2</f>
        <v>1120.8</v>
      </c>
      <c r="E21" s="2">
        <v>0</v>
      </c>
      <c r="F21" s="29">
        <f t="shared" si="0"/>
        <v>1120.8</v>
      </c>
      <c r="G21" s="3">
        <v>0</v>
      </c>
      <c r="H21" s="3">
        <f t="shared" si="2"/>
        <v>67.24799999999999</v>
      </c>
      <c r="I21" s="4">
        <v>0</v>
      </c>
      <c r="J21" s="26">
        <v>0</v>
      </c>
      <c r="K21" s="4">
        <v>0</v>
      </c>
      <c r="L21" s="4">
        <v>0</v>
      </c>
      <c r="M21" s="4">
        <v>0</v>
      </c>
      <c r="N21" s="4">
        <f t="shared" si="3"/>
        <v>168.11999999999998</v>
      </c>
      <c r="O21" s="4">
        <f t="shared" si="4"/>
        <v>235.36799999999997</v>
      </c>
      <c r="P21" s="18">
        <f t="shared" si="5"/>
        <v>885.432</v>
      </c>
      <c r="Q21" s="11">
        <v>0</v>
      </c>
    </row>
    <row r="22" spans="1:17" ht="12.75">
      <c r="A22" s="33" t="s">
        <v>21</v>
      </c>
      <c r="B22" s="33"/>
      <c r="C22" s="33"/>
      <c r="D22" s="37">
        <f>SUM(D8:D21)</f>
        <v>468096.69999999995</v>
      </c>
      <c r="E22" s="37">
        <f>SUM(E8:E21)</f>
        <v>127559.87</v>
      </c>
      <c r="F22" s="38">
        <f>SUM(F7:F21)</f>
        <v>649319.74</v>
      </c>
      <c r="G22" s="37">
        <f aca="true" t="shared" si="6" ref="G22:O22">SUM(G8:G21)</f>
        <v>17620.073099999998</v>
      </c>
      <c r="H22" s="37">
        <f t="shared" si="6"/>
        <v>35739.394199999995</v>
      </c>
      <c r="I22" s="37">
        <f t="shared" si="6"/>
        <v>55056</v>
      </c>
      <c r="J22" s="37">
        <f t="shared" si="6"/>
        <v>134105</v>
      </c>
      <c r="K22" s="37">
        <f t="shared" si="6"/>
        <v>73126.31999999999</v>
      </c>
      <c r="L22" s="37">
        <f t="shared" si="6"/>
        <v>152006</v>
      </c>
      <c r="M22" s="37">
        <f t="shared" si="6"/>
        <v>9604</v>
      </c>
      <c r="N22" s="37">
        <f t="shared" si="6"/>
        <v>89348.4855</v>
      </c>
      <c r="O22" s="37">
        <f t="shared" si="6"/>
        <v>566605.2728</v>
      </c>
      <c r="P22" s="24">
        <f>F22-O22</f>
        <v>82714.46719999996</v>
      </c>
      <c r="Q22" s="21">
        <f>SUM(Q7:Q21)</f>
        <v>42666.13</v>
      </c>
    </row>
    <row r="23" ht="12.75">
      <c r="Q23" s="41">
        <f>Q22*0.91</f>
        <v>38826.1783</v>
      </c>
    </row>
    <row r="24" spans="4:17" ht="12.75">
      <c r="D24" t="s">
        <v>16</v>
      </c>
      <c r="E24" t="s">
        <v>98</v>
      </c>
      <c r="F24" t="s">
        <v>99</v>
      </c>
      <c r="N24" t="s">
        <v>15</v>
      </c>
      <c r="O24" t="s">
        <v>116</v>
      </c>
      <c r="P24" s="1"/>
      <c r="Q24" s="83">
        <v>7817</v>
      </c>
    </row>
    <row r="25" spans="5:19" ht="12.75">
      <c r="E25" t="s">
        <v>100</v>
      </c>
      <c r="F25" t="s">
        <v>101</v>
      </c>
      <c r="N25" t="s">
        <v>36</v>
      </c>
      <c r="O25" t="s">
        <v>117</v>
      </c>
      <c r="Q25" s="83">
        <v>2313</v>
      </c>
      <c r="S25" s="91"/>
    </row>
    <row r="26" spans="4:19" ht="12.75">
      <c r="D26" t="s">
        <v>27</v>
      </c>
      <c r="E26" t="s">
        <v>102</v>
      </c>
      <c r="F26" t="s">
        <v>103</v>
      </c>
      <c r="N26" t="s">
        <v>36</v>
      </c>
      <c r="O26" t="s">
        <v>93</v>
      </c>
      <c r="Q26" s="83">
        <v>27614</v>
      </c>
      <c r="R26" s="1"/>
      <c r="S26" s="91"/>
    </row>
    <row r="27" spans="5:19" ht="12.75">
      <c r="E27" t="s">
        <v>104</v>
      </c>
      <c r="F27" t="s">
        <v>105</v>
      </c>
      <c r="N27" t="s">
        <v>32</v>
      </c>
      <c r="O27" t="s">
        <v>118</v>
      </c>
      <c r="Q27" s="83">
        <v>1136</v>
      </c>
      <c r="S27" s="91"/>
    </row>
    <row r="28" spans="4:19" ht="12.75">
      <c r="D28" t="s">
        <v>28</v>
      </c>
      <c r="E28" t="s">
        <v>106</v>
      </c>
      <c r="F28" t="s">
        <v>107</v>
      </c>
      <c r="Q28" s="84">
        <f>SUM(Q24:Q27)</f>
        <v>38880</v>
      </c>
      <c r="S28" s="91"/>
    </row>
    <row r="29" spans="5:19" ht="12.75">
      <c r="E29" t="s">
        <v>100</v>
      </c>
      <c r="F29" t="s">
        <v>108</v>
      </c>
      <c r="P29" s="82" t="s">
        <v>92</v>
      </c>
      <c r="Q29" s="85">
        <f>Q23-Q28</f>
        <v>-53.82170000000042</v>
      </c>
      <c r="S29" s="91"/>
    </row>
    <row r="30" spans="4:19" ht="12.75">
      <c r="D30" t="s">
        <v>36</v>
      </c>
      <c r="E30" t="s">
        <v>109</v>
      </c>
      <c r="F30" t="s">
        <v>110</v>
      </c>
      <c r="M30" s="90"/>
      <c r="S30" s="91"/>
    </row>
    <row r="31" spans="5:6" ht="12.75">
      <c r="E31" t="s">
        <v>111</v>
      </c>
      <c r="F31" t="s">
        <v>57</v>
      </c>
    </row>
    <row r="32" spans="4:15" ht="12.75">
      <c r="D32" t="s">
        <v>38</v>
      </c>
      <c r="E32" t="s">
        <v>112</v>
      </c>
      <c r="F32" t="s">
        <v>113</v>
      </c>
      <c r="L32" s="82" t="s">
        <v>119</v>
      </c>
      <c r="N32" s="137">
        <f>P22+Q29</f>
        <v>82660.64549999996</v>
      </c>
      <c r="O32" s="137"/>
    </row>
    <row r="33" spans="4:6" ht="12.75">
      <c r="D33" t="s">
        <v>47</v>
      </c>
      <c r="E33" t="s">
        <v>114</v>
      </c>
      <c r="F33" t="s">
        <v>115</v>
      </c>
    </row>
    <row r="36" spans="7:12" ht="15">
      <c r="G36" s="34" t="s">
        <v>22</v>
      </c>
      <c r="H36" s="35"/>
      <c r="I36" s="35"/>
      <c r="J36" s="35"/>
      <c r="K36" s="35"/>
      <c r="L36" s="36"/>
    </row>
    <row r="37" spans="7:12" ht="15">
      <c r="G37" s="36"/>
      <c r="H37" s="36"/>
      <c r="I37" s="36"/>
      <c r="J37" s="36"/>
      <c r="K37" s="36"/>
      <c r="L37" s="36"/>
    </row>
    <row r="42" spans="1:19" ht="12.75">
      <c r="A42" s="126" t="s">
        <v>62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44"/>
      <c r="S42" s="44"/>
    </row>
    <row r="43" spans="1:19" ht="12.75">
      <c r="A43" s="102" t="s">
        <v>29</v>
      </c>
      <c r="B43" s="103"/>
      <c r="C43" s="104"/>
      <c r="D43" s="102"/>
      <c r="E43" s="103"/>
      <c r="F43" s="103"/>
      <c r="G43" s="103"/>
      <c r="H43" s="103"/>
      <c r="I43" s="103"/>
      <c r="J43" s="103"/>
      <c r="K43" s="103"/>
      <c r="L43" s="103"/>
      <c r="M43" s="104"/>
      <c r="N43" s="45" t="s">
        <v>61</v>
      </c>
      <c r="O43" s="21" t="s">
        <v>30</v>
      </c>
      <c r="P43" s="130" t="s">
        <v>59</v>
      </c>
      <c r="Q43" s="131"/>
      <c r="R43" s="46"/>
      <c r="S43" s="82"/>
    </row>
    <row r="44" spans="1:19" ht="12.75">
      <c r="A44" s="132" t="s">
        <v>32</v>
      </c>
      <c r="B44" s="133"/>
      <c r="C44" s="134"/>
      <c r="D44" s="98" t="s">
        <v>54</v>
      </c>
      <c r="E44" s="99"/>
      <c r="F44" s="99"/>
      <c r="G44" s="99"/>
      <c r="H44" s="99"/>
      <c r="I44" s="99"/>
      <c r="J44" s="99"/>
      <c r="K44" s="99"/>
      <c r="L44" s="99"/>
      <c r="M44" s="100"/>
      <c r="N44" s="45" t="s">
        <v>42</v>
      </c>
      <c r="O44" s="21">
        <v>0.07</v>
      </c>
      <c r="P44" s="121" t="s">
        <v>24</v>
      </c>
      <c r="Q44" s="122"/>
      <c r="R44" s="44"/>
      <c r="S44" s="44"/>
    </row>
    <row r="45" spans="1:20" ht="12.75">
      <c r="A45" s="127"/>
      <c r="B45" s="128"/>
      <c r="C45" s="129"/>
      <c r="D45" s="98" t="s">
        <v>63</v>
      </c>
      <c r="E45" s="99"/>
      <c r="F45" s="99"/>
      <c r="G45" s="99"/>
      <c r="H45" s="99"/>
      <c r="I45" s="99"/>
      <c r="J45" s="99"/>
      <c r="K45" s="99"/>
      <c r="L45" s="99"/>
      <c r="M45" s="100"/>
      <c r="N45" s="45" t="s">
        <v>42</v>
      </c>
      <c r="O45" s="42">
        <v>0.07</v>
      </c>
      <c r="P45" s="119"/>
      <c r="Q45" s="120"/>
      <c r="S45" s="91"/>
      <c r="T45" s="91"/>
    </row>
    <row r="46" spans="1:20" ht="12.75">
      <c r="A46" s="22" t="s">
        <v>31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05" t="s">
        <v>60</v>
      </c>
      <c r="O46" s="105"/>
      <c r="P46" s="105"/>
      <c r="Q46" s="43">
        <v>7.938</v>
      </c>
      <c r="S46" s="91"/>
      <c r="T46" s="91"/>
    </row>
    <row r="47" spans="1:20" ht="12.75">
      <c r="A47" s="123" t="s">
        <v>32</v>
      </c>
      <c r="B47" s="124"/>
      <c r="C47" s="125"/>
      <c r="D47" s="98" t="s">
        <v>54</v>
      </c>
      <c r="E47" s="99"/>
      <c r="F47" s="99"/>
      <c r="G47" s="99"/>
      <c r="H47" s="99"/>
      <c r="I47" s="99"/>
      <c r="J47" s="99"/>
      <c r="K47" s="99"/>
      <c r="L47" s="99"/>
      <c r="M47" s="100"/>
      <c r="N47" s="45" t="s">
        <v>42</v>
      </c>
      <c r="O47" s="42">
        <v>0.01</v>
      </c>
      <c r="P47" s="121" t="s">
        <v>64</v>
      </c>
      <c r="Q47" s="122"/>
      <c r="S47" s="91"/>
      <c r="T47" s="91"/>
    </row>
    <row r="48" spans="1:20" ht="12.75">
      <c r="A48" s="106"/>
      <c r="B48" s="106"/>
      <c r="C48" s="106"/>
      <c r="D48" s="98" t="s">
        <v>63</v>
      </c>
      <c r="E48" s="99"/>
      <c r="F48" s="99"/>
      <c r="G48" s="99"/>
      <c r="H48" s="99"/>
      <c r="I48" s="99"/>
      <c r="J48" s="99"/>
      <c r="K48" s="99"/>
      <c r="L48" s="99"/>
      <c r="M48" s="100"/>
      <c r="N48" s="45" t="s">
        <v>42</v>
      </c>
      <c r="O48" s="21">
        <v>0.01</v>
      </c>
      <c r="P48" s="108"/>
      <c r="Q48" s="108"/>
      <c r="S48" s="91"/>
      <c r="T48" s="91"/>
    </row>
    <row r="49" spans="1:20" ht="12.75">
      <c r="A49" s="22" t="s">
        <v>31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05" t="s">
        <v>60</v>
      </c>
      <c r="O49" s="105"/>
      <c r="P49" s="105"/>
      <c r="Q49" s="43">
        <v>1.136</v>
      </c>
      <c r="S49" s="91"/>
      <c r="T49" s="91"/>
    </row>
    <row r="50" spans="1:20" ht="12.75">
      <c r="A50" s="123" t="s">
        <v>32</v>
      </c>
      <c r="B50" s="124"/>
      <c r="C50" s="125"/>
      <c r="D50" s="98" t="s">
        <v>66</v>
      </c>
      <c r="E50" s="99"/>
      <c r="F50" s="99"/>
      <c r="G50" s="99"/>
      <c r="H50" s="99"/>
      <c r="I50" s="99"/>
      <c r="J50" s="99"/>
      <c r="K50" s="99"/>
      <c r="L50" s="99"/>
      <c r="M50" s="100"/>
      <c r="N50" s="45" t="s">
        <v>42</v>
      </c>
      <c r="O50" s="47">
        <v>0.21</v>
      </c>
      <c r="P50" s="121" t="s">
        <v>65</v>
      </c>
      <c r="Q50" s="122"/>
      <c r="S50" s="91"/>
      <c r="T50" s="91"/>
    </row>
    <row r="51" spans="1:20" ht="27.75" customHeight="1">
      <c r="A51" s="106"/>
      <c r="B51" s="106"/>
      <c r="C51" s="106"/>
      <c r="D51" s="112" t="s">
        <v>67</v>
      </c>
      <c r="E51" s="113"/>
      <c r="F51" s="113"/>
      <c r="G51" s="113"/>
      <c r="H51" s="113"/>
      <c r="I51" s="113"/>
      <c r="J51" s="113"/>
      <c r="K51" s="113"/>
      <c r="L51" s="113"/>
      <c r="M51" s="114"/>
      <c r="N51" s="45" t="s">
        <v>42</v>
      </c>
      <c r="O51" s="21">
        <v>0.212</v>
      </c>
      <c r="P51" s="108"/>
      <c r="Q51" s="108"/>
      <c r="S51" s="91"/>
      <c r="T51" s="91"/>
    </row>
    <row r="52" spans="1:20" ht="12.75">
      <c r="A52" s="22" t="s">
        <v>31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05" t="s">
        <v>60</v>
      </c>
      <c r="O52" s="105"/>
      <c r="P52" s="105"/>
      <c r="Q52" s="43">
        <v>25.602</v>
      </c>
      <c r="S52" s="91"/>
      <c r="T52" s="91"/>
    </row>
    <row r="53" spans="1:20" ht="12.75">
      <c r="A53" s="123" t="s">
        <v>32</v>
      </c>
      <c r="B53" s="124"/>
      <c r="C53" s="125"/>
      <c r="D53" s="98" t="s">
        <v>34</v>
      </c>
      <c r="E53" s="99"/>
      <c r="F53" s="99"/>
      <c r="G53" s="99"/>
      <c r="H53" s="99"/>
      <c r="I53" s="99"/>
      <c r="J53" s="99"/>
      <c r="K53" s="99"/>
      <c r="L53" s="99"/>
      <c r="M53" s="100"/>
      <c r="N53" s="45" t="s">
        <v>46</v>
      </c>
      <c r="O53" s="47">
        <v>0.01</v>
      </c>
      <c r="P53" s="121"/>
      <c r="Q53" s="122"/>
      <c r="S53" s="91"/>
      <c r="T53" s="91"/>
    </row>
    <row r="54" spans="1:20" ht="29.25" customHeight="1">
      <c r="A54" s="106"/>
      <c r="B54" s="106"/>
      <c r="C54" s="106"/>
      <c r="D54" s="112" t="s">
        <v>56</v>
      </c>
      <c r="E54" s="113"/>
      <c r="F54" s="113"/>
      <c r="G54" s="113"/>
      <c r="H54" s="113"/>
      <c r="I54" s="113"/>
      <c r="J54" s="113"/>
      <c r="K54" s="113"/>
      <c r="L54" s="113"/>
      <c r="M54" s="114"/>
      <c r="N54" s="45" t="s">
        <v>40</v>
      </c>
      <c r="O54" s="21">
        <v>0.05</v>
      </c>
      <c r="P54" s="108"/>
      <c r="Q54" s="108"/>
      <c r="S54" s="91"/>
      <c r="T54" s="91"/>
    </row>
    <row r="55" spans="1:20" ht="15" customHeight="1">
      <c r="A55" s="106"/>
      <c r="B55" s="106"/>
      <c r="C55" s="106"/>
      <c r="D55" s="112" t="s">
        <v>33</v>
      </c>
      <c r="E55" s="113"/>
      <c r="F55" s="113"/>
      <c r="G55" s="113"/>
      <c r="H55" s="113"/>
      <c r="I55" s="113"/>
      <c r="J55" s="113"/>
      <c r="K55" s="113"/>
      <c r="L55" s="113"/>
      <c r="M55" s="114"/>
      <c r="N55" s="45" t="s">
        <v>46</v>
      </c>
      <c r="O55" s="21">
        <v>0.01</v>
      </c>
      <c r="P55" s="108"/>
      <c r="Q55" s="108"/>
      <c r="S55" s="91"/>
      <c r="T55" s="91"/>
    </row>
    <row r="56" spans="1:20" ht="12.75">
      <c r="A56" s="22" t="s">
        <v>31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05" t="s">
        <v>60</v>
      </c>
      <c r="O56" s="105"/>
      <c r="P56" s="105"/>
      <c r="Q56" s="48">
        <v>0.89</v>
      </c>
      <c r="S56" s="91"/>
      <c r="T56" s="91"/>
    </row>
    <row r="57" spans="1:20" ht="12.75">
      <c r="A57" s="106" t="s">
        <v>15</v>
      </c>
      <c r="B57" s="106"/>
      <c r="C57" s="106"/>
      <c r="D57" s="112" t="s">
        <v>53</v>
      </c>
      <c r="E57" s="113"/>
      <c r="F57" s="113"/>
      <c r="G57" s="113"/>
      <c r="H57" s="113"/>
      <c r="I57" s="113"/>
      <c r="J57" s="113"/>
      <c r="K57" s="113"/>
      <c r="L57" s="113"/>
      <c r="M57" s="114"/>
      <c r="N57" s="45" t="s">
        <v>68</v>
      </c>
      <c r="O57" s="21">
        <v>0.01</v>
      </c>
      <c r="P57" s="108"/>
      <c r="Q57" s="108"/>
      <c r="S57" s="91"/>
      <c r="T57" s="91"/>
    </row>
    <row r="58" spans="1:20" ht="12.75">
      <c r="A58" s="106"/>
      <c r="B58" s="106"/>
      <c r="C58" s="106"/>
      <c r="D58" s="112" t="s">
        <v>54</v>
      </c>
      <c r="E58" s="113"/>
      <c r="F58" s="113"/>
      <c r="G58" s="113"/>
      <c r="H58" s="113"/>
      <c r="I58" s="113"/>
      <c r="J58" s="113"/>
      <c r="K58" s="113"/>
      <c r="L58" s="113"/>
      <c r="M58" s="114"/>
      <c r="N58" s="45" t="s">
        <v>42</v>
      </c>
      <c r="O58" s="21">
        <v>0.065</v>
      </c>
      <c r="P58" s="119"/>
      <c r="Q58" s="120"/>
      <c r="S58" s="91"/>
      <c r="T58" s="91"/>
    </row>
    <row r="59" spans="1:20" ht="12.75">
      <c r="A59" s="106"/>
      <c r="B59" s="106"/>
      <c r="C59" s="106"/>
      <c r="D59" s="112" t="s">
        <v>63</v>
      </c>
      <c r="E59" s="113"/>
      <c r="F59" s="113"/>
      <c r="G59" s="113"/>
      <c r="H59" s="113"/>
      <c r="I59" s="113"/>
      <c r="J59" s="113"/>
      <c r="K59" s="113"/>
      <c r="L59" s="113"/>
      <c r="M59" s="114"/>
      <c r="N59" s="45" t="s">
        <v>42</v>
      </c>
      <c r="O59" s="21">
        <v>0.065</v>
      </c>
      <c r="P59" s="119"/>
      <c r="Q59" s="120"/>
      <c r="S59" s="91"/>
      <c r="T59" s="91"/>
    </row>
    <row r="60" spans="1:20" ht="12.75">
      <c r="A60" s="49" t="s">
        <v>31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18" t="s">
        <v>60</v>
      </c>
      <c r="O60" s="118"/>
      <c r="P60" s="118"/>
      <c r="Q60" s="52">
        <v>7.817</v>
      </c>
      <c r="S60" s="92"/>
      <c r="T60" s="92"/>
    </row>
    <row r="61" spans="1:17" ht="12.75">
      <c r="A61" s="106" t="s">
        <v>15</v>
      </c>
      <c r="B61" s="106"/>
      <c r="C61" s="106"/>
      <c r="D61" s="112" t="s">
        <v>55</v>
      </c>
      <c r="E61" s="113"/>
      <c r="F61" s="113"/>
      <c r="G61" s="113"/>
      <c r="H61" s="113"/>
      <c r="I61" s="113"/>
      <c r="J61" s="113"/>
      <c r="K61" s="113"/>
      <c r="L61" s="113"/>
      <c r="M61" s="114"/>
      <c r="N61" s="45" t="s">
        <v>46</v>
      </c>
      <c r="O61" s="21">
        <v>0.01</v>
      </c>
      <c r="P61" s="108" t="s">
        <v>69</v>
      </c>
      <c r="Q61" s="108"/>
    </row>
    <row r="62" spans="1:17" ht="12.75">
      <c r="A62" s="49" t="s">
        <v>31</v>
      </c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18" t="s">
        <v>60</v>
      </c>
      <c r="O62" s="118"/>
      <c r="P62" s="118"/>
      <c r="Q62" s="52">
        <v>0.376</v>
      </c>
    </row>
    <row r="63" spans="1:17" ht="12.75">
      <c r="A63" s="106" t="s">
        <v>16</v>
      </c>
      <c r="B63" s="106"/>
      <c r="C63" s="106"/>
      <c r="D63" s="112" t="s">
        <v>55</v>
      </c>
      <c r="E63" s="113"/>
      <c r="F63" s="113"/>
      <c r="G63" s="113"/>
      <c r="H63" s="113"/>
      <c r="I63" s="113"/>
      <c r="J63" s="113"/>
      <c r="K63" s="113"/>
      <c r="L63" s="113"/>
      <c r="M63" s="114"/>
      <c r="N63" s="45" t="s">
        <v>46</v>
      </c>
      <c r="O63" s="21">
        <v>0.01</v>
      </c>
      <c r="P63" s="108" t="s">
        <v>70</v>
      </c>
      <c r="Q63" s="108"/>
    </row>
    <row r="64" spans="1:17" ht="12.75">
      <c r="A64" s="56" t="s">
        <v>31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109" t="s">
        <v>60</v>
      </c>
      <c r="O64" s="109"/>
      <c r="P64" s="109"/>
      <c r="Q64" s="55">
        <v>0.376</v>
      </c>
    </row>
    <row r="65" spans="1:17" ht="12.75">
      <c r="A65" s="106" t="s">
        <v>16</v>
      </c>
      <c r="B65" s="106"/>
      <c r="C65" s="106"/>
      <c r="D65" s="112" t="s">
        <v>71</v>
      </c>
      <c r="E65" s="113"/>
      <c r="F65" s="113"/>
      <c r="G65" s="113"/>
      <c r="H65" s="113"/>
      <c r="I65" s="113"/>
      <c r="J65" s="113"/>
      <c r="K65" s="113"/>
      <c r="L65" s="113"/>
      <c r="M65" s="114"/>
      <c r="N65" s="45" t="s">
        <v>40</v>
      </c>
      <c r="O65" s="21">
        <v>0.01</v>
      </c>
      <c r="P65" s="108"/>
      <c r="Q65" s="108"/>
    </row>
    <row r="66" spans="1:17" ht="12.75">
      <c r="A66" s="106"/>
      <c r="B66" s="106"/>
      <c r="C66" s="106"/>
      <c r="D66" s="107" t="s">
        <v>72</v>
      </c>
      <c r="E66" s="107"/>
      <c r="F66" s="107"/>
      <c r="G66" s="107"/>
      <c r="H66" s="107"/>
      <c r="I66" s="107"/>
      <c r="J66" s="107"/>
      <c r="K66" s="107"/>
      <c r="L66" s="107"/>
      <c r="M66" s="107"/>
      <c r="N66" s="45" t="s">
        <v>40</v>
      </c>
      <c r="O66" s="21">
        <v>0.01</v>
      </c>
      <c r="P66" s="108"/>
      <c r="Q66" s="108"/>
    </row>
    <row r="67" spans="1:17" ht="12.75">
      <c r="A67" s="56" t="s">
        <v>31</v>
      </c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109" t="s">
        <v>60</v>
      </c>
      <c r="O67" s="109"/>
      <c r="P67" s="109"/>
      <c r="Q67" s="55">
        <v>0.546</v>
      </c>
    </row>
    <row r="68" spans="1:17" ht="12.75">
      <c r="A68" s="106" t="s">
        <v>27</v>
      </c>
      <c r="B68" s="106"/>
      <c r="C68" s="106"/>
      <c r="D68" s="112" t="s">
        <v>34</v>
      </c>
      <c r="E68" s="113"/>
      <c r="F68" s="113"/>
      <c r="G68" s="113"/>
      <c r="H68" s="113"/>
      <c r="I68" s="113"/>
      <c r="J68" s="113"/>
      <c r="K68" s="113"/>
      <c r="L68" s="113"/>
      <c r="M68" s="114"/>
      <c r="N68" s="45" t="s">
        <v>46</v>
      </c>
      <c r="O68" s="21">
        <v>0.03</v>
      </c>
      <c r="P68" s="108"/>
      <c r="Q68" s="108"/>
    </row>
    <row r="69" spans="1:19" ht="26.25" customHeight="1">
      <c r="A69" s="106"/>
      <c r="B69" s="106"/>
      <c r="C69" s="106"/>
      <c r="D69" s="107" t="s">
        <v>56</v>
      </c>
      <c r="E69" s="107"/>
      <c r="F69" s="107"/>
      <c r="G69" s="107"/>
      <c r="H69" s="107"/>
      <c r="I69" s="107"/>
      <c r="J69" s="107"/>
      <c r="K69" s="107"/>
      <c r="L69" s="107"/>
      <c r="M69" s="107"/>
      <c r="N69" s="45" t="s">
        <v>40</v>
      </c>
      <c r="O69" s="21">
        <v>0.03</v>
      </c>
      <c r="P69" s="108"/>
      <c r="Q69" s="108"/>
      <c r="S69" s="82"/>
    </row>
    <row r="70" spans="1:17" ht="12.75">
      <c r="A70" s="57" t="s">
        <v>31</v>
      </c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17" t="s">
        <v>60</v>
      </c>
      <c r="O70" s="117"/>
      <c r="P70" s="117"/>
      <c r="Q70" s="60">
        <v>0.547</v>
      </c>
    </row>
    <row r="71" spans="1:17" ht="12.75">
      <c r="A71" s="106" t="s">
        <v>27</v>
      </c>
      <c r="B71" s="106"/>
      <c r="C71" s="106"/>
      <c r="D71" s="112" t="s">
        <v>54</v>
      </c>
      <c r="E71" s="113"/>
      <c r="F71" s="113"/>
      <c r="G71" s="113"/>
      <c r="H71" s="113"/>
      <c r="I71" s="113"/>
      <c r="J71" s="113"/>
      <c r="K71" s="113"/>
      <c r="L71" s="113"/>
      <c r="M71" s="114"/>
      <c r="N71" s="45" t="s">
        <v>42</v>
      </c>
      <c r="O71" s="21">
        <v>0.2</v>
      </c>
      <c r="P71" s="108" t="s">
        <v>73</v>
      </c>
      <c r="Q71" s="108"/>
    </row>
    <row r="72" spans="1:17" ht="12.75">
      <c r="A72" s="106"/>
      <c r="B72" s="106"/>
      <c r="C72" s="106"/>
      <c r="D72" s="107" t="s">
        <v>63</v>
      </c>
      <c r="E72" s="107"/>
      <c r="F72" s="107"/>
      <c r="G72" s="107"/>
      <c r="H72" s="107"/>
      <c r="I72" s="107"/>
      <c r="J72" s="107"/>
      <c r="K72" s="107"/>
      <c r="L72" s="107"/>
      <c r="M72" s="107"/>
      <c r="N72" s="45" t="s">
        <v>42</v>
      </c>
      <c r="O72" s="21">
        <v>0.2</v>
      </c>
      <c r="P72" s="108"/>
      <c r="Q72" s="108"/>
    </row>
    <row r="73" spans="1:17" ht="12.75">
      <c r="A73" s="57" t="s">
        <v>31</v>
      </c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17" t="s">
        <v>60</v>
      </c>
      <c r="O73" s="117"/>
      <c r="P73" s="117"/>
      <c r="Q73" s="60">
        <v>22.954</v>
      </c>
    </row>
    <row r="74" spans="1:17" ht="27.75" customHeight="1">
      <c r="A74" s="106" t="s">
        <v>27</v>
      </c>
      <c r="B74" s="106"/>
      <c r="C74" s="106"/>
      <c r="D74" s="112" t="s">
        <v>74</v>
      </c>
      <c r="E74" s="113"/>
      <c r="F74" s="113"/>
      <c r="G74" s="113"/>
      <c r="H74" s="113"/>
      <c r="I74" s="113"/>
      <c r="J74" s="113"/>
      <c r="K74" s="113"/>
      <c r="L74" s="113"/>
      <c r="M74" s="114"/>
      <c r="N74" s="45" t="s">
        <v>35</v>
      </c>
      <c r="O74" s="21">
        <v>0.0806</v>
      </c>
      <c r="P74" s="108"/>
      <c r="Q74" s="108"/>
    </row>
    <row r="75" spans="1:17" ht="12.75">
      <c r="A75" s="57" t="s">
        <v>31</v>
      </c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17" t="s">
        <v>60</v>
      </c>
      <c r="O75" s="117"/>
      <c r="P75" s="117"/>
      <c r="Q75" s="60">
        <v>4.359</v>
      </c>
    </row>
    <row r="76" spans="1:17" ht="12.75">
      <c r="A76" s="106" t="s">
        <v>28</v>
      </c>
      <c r="B76" s="106"/>
      <c r="C76" s="106"/>
      <c r="D76" s="112" t="s">
        <v>76</v>
      </c>
      <c r="E76" s="113"/>
      <c r="F76" s="113"/>
      <c r="G76" s="113"/>
      <c r="H76" s="113"/>
      <c r="I76" s="113"/>
      <c r="J76" s="113"/>
      <c r="K76" s="113"/>
      <c r="L76" s="113"/>
      <c r="M76" s="114"/>
      <c r="N76" s="45" t="s">
        <v>77</v>
      </c>
      <c r="O76" s="21">
        <v>0.03</v>
      </c>
      <c r="P76" s="108" t="s">
        <v>75</v>
      </c>
      <c r="Q76" s="108"/>
    </row>
    <row r="77" spans="1:17" ht="12.75">
      <c r="A77" s="61" t="s">
        <v>31</v>
      </c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116" t="s">
        <v>60</v>
      </c>
      <c r="O77" s="116"/>
      <c r="P77" s="116"/>
      <c r="Q77" s="64">
        <v>1.272</v>
      </c>
    </row>
    <row r="78" spans="1:17" ht="27" customHeight="1">
      <c r="A78" s="106" t="s">
        <v>36</v>
      </c>
      <c r="B78" s="106"/>
      <c r="C78" s="106"/>
      <c r="D78" s="112" t="s">
        <v>78</v>
      </c>
      <c r="E78" s="113"/>
      <c r="F78" s="113"/>
      <c r="G78" s="113"/>
      <c r="H78" s="113"/>
      <c r="I78" s="113"/>
      <c r="J78" s="113"/>
      <c r="K78" s="113"/>
      <c r="L78" s="113"/>
      <c r="M78" s="114"/>
      <c r="N78" s="45" t="s">
        <v>52</v>
      </c>
      <c r="O78" s="21">
        <v>2</v>
      </c>
      <c r="P78" s="108" t="s">
        <v>80</v>
      </c>
      <c r="Q78" s="108"/>
    </row>
    <row r="79" spans="1:17" ht="12.75">
      <c r="A79" s="65" t="s">
        <v>31</v>
      </c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135" t="s">
        <v>60</v>
      </c>
      <c r="O79" s="135"/>
      <c r="P79" s="135"/>
      <c r="Q79" s="68">
        <v>2.313</v>
      </c>
    </row>
    <row r="80" spans="1:17" ht="12.75">
      <c r="A80" s="106" t="s">
        <v>36</v>
      </c>
      <c r="B80" s="106"/>
      <c r="C80" s="106"/>
      <c r="D80" s="112" t="s">
        <v>49</v>
      </c>
      <c r="E80" s="113"/>
      <c r="F80" s="113"/>
      <c r="G80" s="113"/>
      <c r="H80" s="113"/>
      <c r="I80" s="113"/>
      <c r="J80" s="113"/>
      <c r="K80" s="113"/>
      <c r="L80" s="113"/>
      <c r="M80" s="114"/>
      <c r="N80" s="45" t="s">
        <v>42</v>
      </c>
      <c r="O80" s="21">
        <v>0.08</v>
      </c>
      <c r="P80" s="108" t="s">
        <v>79</v>
      </c>
      <c r="Q80" s="108"/>
    </row>
    <row r="81" spans="1:17" ht="12.75">
      <c r="A81" s="65" t="s">
        <v>31</v>
      </c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135" t="s">
        <v>60</v>
      </c>
      <c r="O81" s="135"/>
      <c r="P81" s="135"/>
      <c r="Q81" s="68">
        <v>0.776</v>
      </c>
    </row>
    <row r="82" spans="1:17" ht="28.5" customHeight="1">
      <c r="A82" s="106" t="s">
        <v>36</v>
      </c>
      <c r="B82" s="106"/>
      <c r="C82" s="106"/>
      <c r="D82" s="112" t="s">
        <v>81</v>
      </c>
      <c r="E82" s="113"/>
      <c r="F82" s="113"/>
      <c r="G82" s="113"/>
      <c r="H82" s="113"/>
      <c r="I82" s="113"/>
      <c r="J82" s="113"/>
      <c r="K82" s="113"/>
      <c r="L82" s="113"/>
      <c r="M82" s="114"/>
      <c r="N82" s="45" t="s">
        <v>42</v>
      </c>
      <c r="O82" s="21">
        <v>10.08</v>
      </c>
      <c r="P82" s="108"/>
      <c r="Q82" s="108"/>
    </row>
    <row r="83" spans="1:17" ht="12.75">
      <c r="A83" s="65" t="s">
        <v>31</v>
      </c>
      <c r="B83" s="6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135" t="s">
        <v>60</v>
      </c>
      <c r="O83" s="135"/>
      <c r="P83" s="135"/>
      <c r="Q83" s="68">
        <v>27.614</v>
      </c>
    </row>
    <row r="84" spans="1:17" ht="12.75">
      <c r="A84" s="106" t="s">
        <v>38</v>
      </c>
      <c r="B84" s="106"/>
      <c r="C84" s="106"/>
      <c r="D84" s="112" t="s">
        <v>45</v>
      </c>
      <c r="E84" s="113"/>
      <c r="F84" s="113"/>
      <c r="G84" s="113"/>
      <c r="H84" s="113"/>
      <c r="I84" s="113"/>
      <c r="J84" s="113"/>
      <c r="K84" s="113"/>
      <c r="L84" s="113"/>
      <c r="M84" s="114"/>
      <c r="N84" s="45" t="s">
        <v>46</v>
      </c>
      <c r="O84" s="21">
        <v>0.01</v>
      </c>
      <c r="P84" s="108" t="s">
        <v>82</v>
      </c>
      <c r="Q84" s="108"/>
    </row>
    <row r="85" spans="1:20" ht="12.75">
      <c r="A85" s="69" t="s">
        <v>31</v>
      </c>
      <c r="B85" s="70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115" t="s">
        <v>60</v>
      </c>
      <c r="O85" s="115"/>
      <c r="P85" s="115"/>
      <c r="Q85" s="72">
        <v>1.505</v>
      </c>
      <c r="T85" s="82"/>
    </row>
    <row r="86" spans="1:17" ht="12.75">
      <c r="A86" s="106" t="s">
        <v>38</v>
      </c>
      <c r="B86" s="106"/>
      <c r="C86" s="106"/>
      <c r="D86" s="112" t="s">
        <v>49</v>
      </c>
      <c r="E86" s="113"/>
      <c r="F86" s="113"/>
      <c r="G86" s="113"/>
      <c r="H86" s="113"/>
      <c r="I86" s="113"/>
      <c r="J86" s="113"/>
      <c r="K86" s="113"/>
      <c r="L86" s="113"/>
      <c r="M86" s="114"/>
      <c r="N86" s="45" t="s">
        <v>42</v>
      </c>
      <c r="O86" s="21">
        <v>0.08</v>
      </c>
      <c r="P86" s="108" t="s">
        <v>83</v>
      </c>
      <c r="Q86" s="108"/>
    </row>
    <row r="87" spans="1:17" ht="12.75">
      <c r="A87" s="69" t="s">
        <v>31</v>
      </c>
      <c r="B87" s="70"/>
      <c r="C87" s="71"/>
      <c r="D87" s="71"/>
      <c r="E87" s="71"/>
      <c r="F87" s="71"/>
      <c r="G87" s="71"/>
      <c r="H87" s="77"/>
      <c r="I87" s="71"/>
      <c r="J87" s="71"/>
      <c r="K87" s="71"/>
      <c r="L87" s="71"/>
      <c r="M87" s="71"/>
      <c r="N87" s="115" t="s">
        <v>60</v>
      </c>
      <c r="O87" s="115"/>
      <c r="P87" s="115"/>
      <c r="Q87" s="72">
        <v>0.802</v>
      </c>
    </row>
    <row r="88" spans="1:17" ht="12.75">
      <c r="A88" s="106" t="s">
        <v>43</v>
      </c>
      <c r="B88" s="106"/>
      <c r="C88" s="106"/>
      <c r="D88" s="112" t="s">
        <v>85</v>
      </c>
      <c r="E88" s="113"/>
      <c r="F88" s="113"/>
      <c r="G88" s="113"/>
      <c r="H88" s="113"/>
      <c r="I88" s="113"/>
      <c r="J88" s="113"/>
      <c r="K88" s="113"/>
      <c r="L88" s="113"/>
      <c r="M88" s="114"/>
      <c r="N88" s="45" t="s">
        <v>42</v>
      </c>
      <c r="O88" s="21">
        <v>0.2</v>
      </c>
      <c r="P88" s="108" t="s">
        <v>84</v>
      </c>
      <c r="Q88" s="108"/>
    </row>
    <row r="89" spans="1:17" ht="28.5" customHeight="1">
      <c r="A89" s="106"/>
      <c r="B89" s="106"/>
      <c r="C89" s="106"/>
      <c r="D89" s="107" t="s">
        <v>67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45" t="s">
        <v>42</v>
      </c>
      <c r="O89" s="21">
        <v>0.04</v>
      </c>
      <c r="P89" s="108"/>
      <c r="Q89" s="108"/>
    </row>
    <row r="90" spans="1:17" ht="28.5" customHeight="1">
      <c r="A90" s="106"/>
      <c r="B90" s="106"/>
      <c r="C90" s="106"/>
      <c r="D90" s="107" t="s">
        <v>86</v>
      </c>
      <c r="E90" s="107"/>
      <c r="F90" s="107"/>
      <c r="G90" s="107"/>
      <c r="H90" s="107"/>
      <c r="I90" s="107"/>
      <c r="J90" s="107"/>
      <c r="K90" s="107"/>
      <c r="L90" s="107"/>
      <c r="M90" s="107"/>
      <c r="N90" s="45" t="s">
        <v>42</v>
      </c>
      <c r="O90" s="21">
        <v>0.16</v>
      </c>
      <c r="P90" s="108"/>
      <c r="Q90" s="108"/>
    </row>
    <row r="91" spans="1:17" ht="12.75">
      <c r="A91" s="73" t="s">
        <v>31</v>
      </c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111" t="s">
        <v>60</v>
      </c>
      <c r="O91" s="111"/>
      <c r="P91" s="111"/>
      <c r="Q91" s="76">
        <v>24.439</v>
      </c>
    </row>
    <row r="92" spans="1:17" ht="12.75">
      <c r="A92" s="106" t="s">
        <v>43</v>
      </c>
      <c r="B92" s="106"/>
      <c r="C92" s="106"/>
      <c r="D92" s="107" t="s">
        <v>33</v>
      </c>
      <c r="E92" s="107"/>
      <c r="F92" s="107"/>
      <c r="G92" s="107"/>
      <c r="H92" s="107"/>
      <c r="I92" s="107"/>
      <c r="J92" s="107"/>
      <c r="K92" s="107"/>
      <c r="L92" s="107"/>
      <c r="M92" s="107"/>
      <c r="N92" s="45" t="s">
        <v>46</v>
      </c>
      <c r="O92" s="21">
        <v>0.01</v>
      </c>
      <c r="P92" s="108" t="s">
        <v>87</v>
      </c>
      <c r="Q92" s="108"/>
    </row>
    <row r="93" spans="1:17" ht="12.75">
      <c r="A93" s="73" t="s">
        <v>31</v>
      </c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111" t="s">
        <v>60</v>
      </c>
      <c r="O93" s="111"/>
      <c r="P93" s="111"/>
      <c r="Q93" s="76">
        <v>0.135</v>
      </c>
    </row>
    <row r="94" spans="1:17" ht="12.75">
      <c r="A94" s="106" t="s">
        <v>43</v>
      </c>
      <c r="B94" s="106"/>
      <c r="C94" s="106"/>
      <c r="D94" s="107" t="s">
        <v>41</v>
      </c>
      <c r="E94" s="107"/>
      <c r="F94" s="107"/>
      <c r="G94" s="107"/>
      <c r="H94" s="107"/>
      <c r="I94" s="107"/>
      <c r="J94" s="107"/>
      <c r="K94" s="107"/>
      <c r="L94" s="107"/>
      <c r="M94" s="107"/>
      <c r="N94" s="45" t="s">
        <v>35</v>
      </c>
      <c r="O94" s="21">
        <v>14.75</v>
      </c>
      <c r="P94" s="108" t="s">
        <v>88</v>
      </c>
      <c r="Q94" s="108"/>
    </row>
    <row r="95" spans="1:17" ht="12.75">
      <c r="A95" s="73" t="s">
        <v>31</v>
      </c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111" t="s">
        <v>60</v>
      </c>
      <c r="O95" s="111"/>
      <c r="P95" s="111"/>
      <c r="Q95" s="76">
        <v>9.14</v>
      </c>
    </row>
    <row r="96" spans="1:17" ht="12.75">
      <c r="A96" s="106" t="s">
        <v>44</v>
      </c>
      <c r="B96" s="106"/>
      <c r="C96" s="106"/>
      <c r="D96" s="107" t="s">
        <v>49</v>
      </c>
      <c r="E96" s="107"/>
      <c r="F96" s="107"/>
      <c r="G96" s="107"/>
      <c r="H96" s="107"/>
      <c r="I96" s="107"/>
      <c r="J96" s="107"/>
      <c r="K96" s="107"/>
      <c r="L96" s="107"/>
      <c r="M96" s="107"/>
      <c r="N96" s="45" t="s">
        <v>42</v>
      </c>
      <c r="O96" s="21">
        <v>0.08</v>
      </c>
      <c r="P96" s="108"/>
      <c r="Q96" s="108"/>
    </row>
    <row r="97" spans="1:17" ht="12.75">
      <c r="A97" s="78" t="s">
        <v>31</v>
      </c>
      <c r="B97" s="79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110" t="s">
        <v>60</v>
      </c>
      <c r="O97" s="110"/>
      <c r="P97" s="110"/>
      <c r="Q97" s="81">
        <v>0.832</v>
      </c>
    </row>
    <row r="98" spans="1:17" ht="12.75">
      <c r="A98" s="106" t="s">
        <v>44</v>
      </c>
      <c r="B98" s="106"/>
      <c r="C98" s="106"/>
      <c r="D98" s="107" t="s">
        <v>90</v>
      </c>
      <c r="E98" s="107"/>
      <c r="F98" s="107"/>
      <c r="G98" s="107"/>
      <c r="H98" s="107"/>
      <c r="I98" s="107"/>
      <c r="J98" s="107"/>
      <c r="K98" s="107"/>
      <c r="L98" s="107"/>
      <c r="M98" s="107"/>
      <c r="N98" s="45" t="s">
        <v>42</v>
      </c>
      <c r="O98" s="21">
        <v>0.02</v>
      </c>
      <c r="P98" s="108" t="s">
        <v>89</v>
      </c>
      <c r="Q98" s="108"/>
    </row>
    <row r="99" spans="1:17" ht="12.75">
      <c r="A99" s="78" t="s">
        <v>31</v>
      </c>
      <c r="B99" s="79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110" t="s">
        <v>60</v>
      </c>
      <c r="O99" s="110"/>
      <c r="P99" s="110"/>
      <c r="Q99" s="81">
        <v>2.582</v>
      </c>
    </row>
    <row r="100" spans="1:17" ht="12.75">
      <c r="A100" s="106" t="s">
        <v>44</v>
      </c>
      <c r="B100" s="106"/>
      <c r="C100" s="106"/>
      <c r="D100" s="107" t="s">
        <v>37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45" t="s">
        <v>35</v>
      </c>
      <c r="O100" s="21">
        <v>0.62</v>
      </c>
      <c r="P100" s="108" t="s">
        <v>91</v>
      </c>
      <c r="Q100" s="108"/>
    </row>
    <row r="101" spans="1:17" ht="12.75">
      <c r="A101" s="78" t="s">
        <v>31</v>
      </c>
      <c r="B101" s="79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110" t="s">
        <v>60</v>
      </c>
      <c r="O101" s="110"/>
      <c r="P101" s="110"/>
      <c r="Q101" s="81">
        <v>24.039</v>
      </c>
    </row>
    <row r="102" spans="1:17" ht="12.75">
      <c r="A102" s="106" t="s">
        <v>47</v>
      </c>
      <c r="B102" s="106"/>
      <c r="C102" s="106"/>
      <c r="D102" s="107" t="s">
        <v>49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45" t="s">
        <v>42</v>
      </c>
      <c r="O102" s="21">
        <v>0.08</v>
      </c>
      <c r="P102" s="108" t="s">
        <v>94</v>
      </c>
      <c r="Q102" s="108"/>
    </row>
    <row r="103" spans="1:17" ht="12.75">
      <c r="A103" s="56" t="s">
        <v>31</v>
      </c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109" t="s">
        <v>60</v>
      </c>
      <c r="O103" s="109"/>
      <c r="P103" s="109"/>
      <c r="Q103" s="55">
        <v>0.832</v>
      </c>
    </row>
    <row r="104" spans="1:17" ht="12.75">
      <c r="A104" s="106" t="s">
        <v>47</v>
      </c>
      <c r="B104" s="106"/>
      <c r="C104" s="106"/>
      <c r="D104" s="107" t="s">
        <v>71</v>
      </c>
      <c r="E104" s="107"/>
      <c r="F104" s="107"/>
      <c r="G104" s="107"/>
      <c r="H104" s="107"/>
      <c r="I104" s="107"/>
      <c r="J104" s="107"/>
      <c r="K104" s="107"/>
      <c r="L104" s="107"/>
      <c r="M104" s="107"/>
      <c r="N104" s="45" t="s">
        <v>42</v>
      </c>
      <c r="O104" s="21">
        <v>0.008</v>
      </c>
      <c r="P104" s="108" t="s">
        <v>95</v>
      </c>
      <c r="Q104" s="108"/>
    </row>
    <row r="105" spans="1:17" ht="29.25" customHeight="1">
      <c r="A105" s="106"/>
      <c r="B105" s="106"/>
      <c r="C105" s="106"/>
      <c r="D105" s="107" t="s">
        <v>96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45" t="s">
        <v>97</v>
      </c>
      <c r="O105" s="21">
        <v>1</v>
      </c>
      <c r="P105" s="108"/>
      <c r="Q105" s="108"/>
    </row>
    <row r="106" spans="1:18" ht="12.75">
      <c r="A106" s="56" t="s">
        <v>31</v>
      </c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109" t="s">
        <v>60</v>
      </c>
      <c r="O106" s="109"/>
      <c r="P106" s="109"/>
      <c r="Q106" s="55">
        <v>3.358</v>
      </c>
      <c r="R106" s="25"/>
    </row>
    <row r="107" spans="1:17" ht="12.75">
      <c r="A107" s="106" t="s">
        <v>48</v>
      </c>
      <c r="B107" s="106"/>
      <c r="C107" s="106"/>
      <c r="D107" s="107" t="s">
        <v>49</v>
      </c>
      <c r="E107" s="107"/>
      <c r="F107" s="107"/>
      <c r="G107" s="107"/>
      <c r="H107" s="107"/>
      <c r="I107" s="107"/>
      <c r="J107" s="107"/>
      <c r="K107" s="107"/>
      <c r="L107" s="107"/>
      <c r="M107" s="107"/>
      <c r="N107" s="45" t="s">
        <v>42</v>
      </c>
      <c r="O107" s="21">
        <v>0.08</v>
      </c>
      <c r="P107" s="108" t="s">
        <v>39</v>
      </c>
      <c r="Q107" s="108"/>
    </row>
    <row r="108" spans="1:18" ht="12.75">
      <c r="A108" s="86" t="s">
        <v>31</v>
      </c>
      <c r="B108" s="87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136" t="s">
        <v>60</v>
      </c>
      <c r="O108" s="136"/>
      <c r="P108" s="136"/>
      <c r="Q108" s="89">
        <v>0.805</v>
      </c>
      <c r="R108" s="25"/>
    </row>
  </sheetData>
  <sheetProtection/>
  <mergeCells count="153">
    <mergeCell ref="N32:O32"/>
    <mergeCell ref="N108:P108"/>
    <mergeCell ref="A107:C107"/>
    <mergeCell ref="D107:M107"/>
    <mergeCell ref="P107:Q107"/>
    <mergeCell ref="N93:P93"/>
    <mergeCell ref="A94:C94"/>
    <mergeCell ref="D94:M94"/>
    <mergeCell ref="A100:C100"/>
    <mergeCell ref="D100:M100"/>
    <mergeCell ref="P100:Q100"/>
    <mergeCell ref="D98:M98"/>
    <mergeCell ref="P98:Q98"/>
    <mergeCell ref="A86:C86"/>
    <mergeCell ref="D86:M86"/>
    <mergeCell ref="P86:Q86"/>
    <mergeCell ref="N87:P87"/>
    <mergeCell ref="A96:C96"/>
    <mergeCell ref="D96:M96"/>
    <mergeCell ref="P96:Q96"/>
    <mergeCell ref="A92:C92"/>
    <mergeCell ref="D92:M92"/>
    <mergeCell ref="P92:Q92"/>
    <mergeCell ref="A80:C80"/>
    <mergeCell ref="D80:M80"/>
    <mergeCell ref="P80:Q80"/>
    <mergeCell ref="N81:P81"/>
    <mergeCell ref="P82:Q82"/>
    <mergeCell ref="N83:P83"/>
    <mergeCell ref="A84:C84"/>
    <mergeCell ref="D72:M72"/>
    <mergeCell ref="P72:Q72"/>
    <mergeCell ref="A78:C78"/>
    <mergeCell ref="D78:M78"/>
    <mergeCell ref="P78:Q78"/>
    <mergeCell ref="N79:P79"/>
    <mergeCell ref="A59:C59"/>
    <mergeCell ref="D59:M59"/>
    <mergeCell ref="A66:C66"/>
    <mergeCell ref="D66:M66"/>
    <mergeCell ref="P66:Q66"/>
    <mergeCell ref="N73:P73"/>
    <mergeCell ref="A71:C71"/>
    <mergeCell ref="D71:M71"/>
    <mergeCell ref="P71:Q71"/>
    <mergeCell ref="A72:C72"/>
    <mergeCell ref="N52:P52"/>
    <mergeCell ref="A50:C50"/>
    <mergeCell ref="D50:M50"/>
    <mergeCell ref="P50:Q50"/>
    <mergeCell ref="A51:C51"/>
    <mergeCell ref="D51:M51"/>
    <mergeCell ref="P51:Q51"/>
    <mergeCell ref="A44:C44"/>
    <mergeCell ref="A47:C47"/>
    <mergeCell ref="D47:M47"/>
    <mergeCell ref="P47:Q47"/>
    <mergeCell ref="N49:P49"/>
    <mergeCell ref="A48:C48"/>
    <mergeCell ref="D48:M48"/>
    <mergeCell ref="P48:Q48"/>
    <mergeCell ref="A42:Q42"/>
    <mergeCell ref="A45:C45"/>
    <mergeCell ref="N46:P46"/>
    <mergeCell ref="P43:Q43"/>
    <mergeCell ref="P44:Q44"/>
    <mergeCell ref="P45:Q45"/>
    <mergeCell ref="D43:M43"/>
    <mergeCell ref="D44:M44"/>
    <mergeCell ref="D45:M45"/>
    <mergeCell ref="A43:C43"/>
    <mergeCell ref="N67:P67"/>
    <mergeCell ref="A61:C61"/>
    <mergeCell ref="D61:M61"/>
    <mergeCell ref="P61:Q61"/>
    <mergeCell ref="N56:P56"/>
    <mergeCell ref="A4:P4"/>
    <mergeCell ref="D5:F5"/>
    <mergeCell ref="H5:H6"/>
    <mergeCell ref="L5:N5"/>
    <mergeCell ref="O5:O6"/>
    <mergeCell ref="D53:M53"/>
    <mergeCell ref="P53:Q53"/>
    <mergeCell ref="A54:C54"/>
    <mergeCell ref="D54:M54"/>
    <mergeCell ref="P54:Q54"/>
    <mergeCell ref="P59:Q59"/>
    <mergeCell ref="P57:Q57"/>
    <mergeCell ref="A53:C53"/>
    <mergeCell ref="A55:C55"/>
    <mergeCell ref="D55:M55"/>
    <mergeCell ref="P55:Q55"/>
    <mergeCell ref="A57:C57"/>
    <mergeCell ref="D57:M57"/>
    <mergeCell ref="A63:C63"/>
    <mergeCell ref="D63:M63"/>
    <mergeCell ref="P63:Q63"/>
    <mergeCell ref="N60:P60"/>
    <mergeCell ref="A58:C58"/>
    <mergeCell ref="D58:M58"/>
    <mergeCell ref="P58:Q58"/>
    <mergeCell ref="N64:P64"/>
    <mergeCell ref="N62:P62"/>
    <mergeCell ref="A65:C65"/>
    <mergeCell ref="D65:M65"/>
    <mergeCell ref="P65:Q65"/>
    <mergeCell ref="N70:P70"/>
    <mergeCell ref="A68:C68"/>
    <mergeCell ref="D68:M68"/>
    <mergeCell ref="P68:Q68"/>
    <mergeCell ref="A69:C69"/>
    <mergeCell ref="D69:M69"/>
    <mergeCell ref="P69:Q69"/>
    <mergeCell ref="A76:C76"/>
    <mergeCell ref="D76:M76"/>
    <mergeCell ref="P76:Q76"/>
    <mergeCell ref="N77:P77"/>
    <mergeCell ref="N75:P75"/>
    <mergeCell ref="A74:C74"/>
    <mergeCell ref="D74:M74"/>
    <mergeCell ref="P74:Q74"/>
    <mergeCell ref="D84:M84"/>
    <mergeCell ref="P84:Q84"/>
    <mergeCell ref="N85:P85"/>
    <mergeCell ref="A82:C82"/>
    <mergeCell ref="D82:M82"/>
    <mergeCell ref="A88:C88"/>
    <mergeCell ref="D88:M88"/>
    <mergeCell ref="P88:Q88"/>
    <mergeCell ref="N91:P91"/>
    <mergeCell ref="A89:C89"/>
    <mergeCell ref="D89:M89"/>
    <mergeCell ref="P89:Q89"/>
    <mergeCell ref="A90:C90"/>
    <mergeCell ref="D90:M90"/>
    <mergeCell ref="P90:Q90"/>
    <mergeCell ref="A102:C102"/>
    <mergeCell ref="D102:M102"/>
    <mergeCell ref="P102:Q102"/>
    <mergeCell ref="N103:P103"/>
    <mergeCell ref="N99:P99"/>
    <mergeCell ref="P94:Q94"/>
    <mergeCell ref="N95:P95"/>
    <mergeCell ref="N97:P97"/>
    <mergeCell ref="N101:P101"/>
    <mergeCell ref="A98:C98"/>
    <mergeCell ref="A104:C104"/>
    <mergeCell ref="D104:M104"/>
    <mergeCell ref="P104:Q104"/>
    <mergeCell ref="N106:P106"/>
    <mergeCell ref="A105:C105"/>
    <mergeCell ref="D105:M105"/>
    <mergeCell ref="P105:Q105"/>
  </mergeCells>
  <printOptions/>
  <pageMargins left="0.25" right="0.22916666666666666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2015-02-04T10:29:10Z</cp:lastPrinted>
  <dcterms:created xsi:type="dcterms:W3CDTF">2007-02-04T12:22:59Z</dcterms:created>
  <dcterms:modified xsi:type="dcterms:W3CDTF">2015-02-09T10:53:06Z</dcterms:modified>
  <cp:category/>
  <cp:version/>
  <cp:contentType/>
  <cp:contentStatus/>
</cp:coreProperties>
</file>