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</sheets>
  <definedNames>
    <definedName name="_xlnm.Print_Area" localSheetId="0">'2013'!$D$31:$Q$57</definedName>
  </definedNames>
  <calcPr fullCalcOnLoad="1"/>
</workbook>
</file>

<file path=xl/comments1.xml><?xml version="1.0" encoding="utf-8"?>
<comments xmlns="http://schemas.openxmlformats.org/spreadsheetml/2006/main">
  <authors>
    <author>user1</author>
  </authors>
  <commentList>
    <comment ref="L9" authorId="0">
      <text>
        <r>
          <rPr>
            <b/>
            <sz val="8"/>
            <rFont val="Tahoma"/>
            <family val="2"/>
          </rPr>
          <t>user1:</t>
        </r>
        <r>
          <rPr>
            <sz val="8"/>
            <rFont val="Tahoma"/>
            <family val="2"/>
          </rPr>
          <t xml:space="preserve">
280 руб. -замок навесной
540 руб. - щетка+метелка</t>
        </r>
      </text>
    </comment>
    <comment ref="L14" authorId="0">
      <text>
        <r>
          <rPr>
            <b/>
            <sz val="8"/>
            <rFont val="Tahoma"/>
            <family val="2"/>
          </rPr>
          <t>user1:</t>
        </r>
        <r>
          <rPr>
            <sz val="8"/>
            <rFont val="Tahoma"/>
            <family val="2"/>
          </rPr>
          <t xml:space="preserve">
4500-установка  счетчика электрического</t>
        </r>
      </text>
    </comment>
  </commentList>
</comments>
</file>

<file path=xl/sharedStrings.xml><?xml version="1.0" encoding="utf-8"?>
<sst xmlns="http://schemas.openxmlformats.org/spreadsheetml/2006/main" count="94" uniqueCount="68">
  <si>
    <t>Площадь</t>
  </si>
  <si>
    <t xml:space="preserve">Кол-во </t>
  </si>
  <si>
    <t xml:space="preserve">Поступило </t>
  </si>
  <si>
    <t xml:space="preserve">Оплата </t>
  </si>
  <si>
    <t>Налог</t>
  </si>
  <si>
    <t>Уборка</t>
  </si>
  <si>
    <t>Ремонт</t>
  </si>
  <si>
    <t>Содержание</t>
  </si>
  <si>
    <t>квар.</t>
  </si>
  <si>
    <t>ремонт</t>
  </si>
  <si>
    <t>итого</t>
  </si>
  <si>
    <t>ЕРКЦ</t>
  </si>
  <si>
    <t>тер.</t>
  </si>
  <si>
    <t xml:space="preserve">сметы </t>
  </si>
  <si>
    <t>договор ав.</t>
  </si>
  <si>
    <t>я</t>
  </si>
  <si>
    <t>Расходы</t>
  </si>
  <si>
    <t>тепло</t>
  </si>
  <si>
    <t xml:space="preserve">эксплуатац. </t>
  </si>
  <si>
    <t>Разное</t>
  </si>
  <si>
    <t>содер</t>
  </si>
  <si>
    <t>кап. Рем.</t>
  </si>
  <si>
    <t>Остаток</t>
  </si>
  <si>
    <t>Ген. директор ООО "Георгиевск - ЖЭУ"                                Никишина И.М.</t>
  </si>
  <si>
    <t>Тех.обслуж.</t>
  </si>
  <si>
    <t>июль</t>
  </si>
  <si>
    <t>август</t>
  </si>
  <si>
    <t>Месяц</t>
  </si>
  <si>
    <t>Наименование работ</t>
  </si>
  <si>
    <t>ед. изм.</t>
  </si>
  <si>
    <t>кол-во</t>
  </si>
  <si>
    <t>ИТОГО</t>
  </si>
  <si>
    <t>тыс.руб.</t>
  </si>
  <si>
    <t>100м тр-да</t>
  </si>
  <si>
    <t>сентябрь</t>
  </si>
  <si>
    <t>октябрь</t>
  </si>
  <si>
    <t>Богданова</t>
  </si>
  <si>
    <t>1кв.</t>
  </si>
  <si>
    <t>2кв.</t>
  </si>
  <si>
    <t>3кв.</t>
  </si>
  <si>
    <t>100м2</t>
  </si>
  <si>
    <t>ноябрь</t>
  </si>
  <si>
    <t>100м</t>
  </si>
  <si>
    <t>декабрь</t>
  </si>
  <si>
    <t>4 кв.</t>
  </si>
  <si>
    <t>Учет доходов и расходов по Гагарина 234 на 2013 год</t>
  </si>
  <si>
    <t>февраль</t>
  </si>
  <si>
    <t>март</t>
  </si>
  <si>
    <t>апрель</t>
  </si>
  <si>
    <t>май</t>
  </si>
  <si>
    <t>кв.6</t>
  </si>
  <si>
    <t>Смена сгонов у трубопроводов диаметром: до 20мм</t>
  </si>
  <si>
    <t>100сгонов</t>
  </si>
  <si>
    <t>июнь</t>
  </si>
  <si>
    <t>кв.113</t>
  </si>
  <si>
    <t>Очистка канализационной сети</t>
  </si>
  <si>
    <t>подвал</t>
  </si>
  <si>
    <t>Прокладка трубопроводов канализации из полиэтиленовых труб высокой плотности диаметром: 110мм</t>
  </si>
  <si>
    <t>Гидравлические испытания трубопроводов систем отопления, водопровода и горячего водоснабжения диаметром: до 100мм</t>
  </si>
  <si>
    <t>Провод двух- и трехжильный с разделительным основанием по стенам и потолкам, прокладываемый по основаниям: кирпичным</t>
  </si>
  <si>
    <t>Смена патронов</t>
  </si>
  <si>
    <t>100шт</t>
  </si>
  <si>
    <t>Смена выключателей</t>
  </si>
  <si>
    <t>кв.21</t>
  </si>
  <si>
    <t>Ремонт групповых щитков на лестничной клетке без ремонта автоматов</t>
  </si>
  <si>
    <t>Перечень выполненных работ по сметам за 2013 год по Гагарина 234</t>
  </si>
  <si>
    <t>кв.43</t>
  </si>
  <si>
    <t>Смена существующих рулонных кровель на покрытия из наплавляемых материалов: в один слой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</si>
</sst>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#,##0.00_р_."/>
    <numFmt numFmtId="182" formatCode="0.000"/>
    <numFmt numFmtId="183" formatCode="#,##0.000_р_."/>
  </numFmts>
  <fonts count="42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2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4" fontId="3" fillId="34" borderId="1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5" fillId="0" borderId="10" xfId="0" applyNumberFormat="1" applyFont="1" applyBorder="1" applyAlignment="1">
      <alignment horizontal="left"/>
    </xf>
    <xf numFmtId="0" fontId="5" fillId="36" borderId="10" xfId="0" applyNumberFormat="1" applyFont="1" applyFill="1" applyBorder="1" applyAlignment="1">
      <alignment horizontal="left"/>
    </xf>
    <xf numFmtId="2" fontId="5" fillId="36" borderId="12" xfId="0" applyNumberFormat="1" applyFont="1" applyFill="1" applyBorder="1" applyAlignment="1">
      <alignment/>
    </xf>
    <xf numFmtId="2" fontId="5" fillId="36" borderId="13" xfId="0" applyNumberFormat="1" applyFont="1" applyFill="1" applyBorder="1" applyAlignment="1">
      <alignment/>
    </xf>
    <xf numFmtId="0" fontId="5" fillId="36" borderId="10" xfId="0" applyFont="1" applyFill="1" applyBorder="1" applyAlignment="1">
      <alignment/>
    </xf>
    <xf numFmtId="182" fontId="5" fillId="36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0" fillId="37" borderId="10" xfId="0" applyFill="1" applyBorder="1" applyAlignment="1">
      <alignment/>
    </xf>
    <xf numFmtId="4" fontId="0" fillId="37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2" fontId="0" fillId="37" borderId="10" xfId="0" applyNumberFormat="1" applyFill="1" applyBorder="1" applyAlignment="1">
      <alignment/>
    </xf>
    <xf numFmtId="0" fontId="3" fillId="37" borderId="14" xfId="0" applyFont="1" applyFill="1" applyBorder="1" applyAlignment="1">
      <alignment/>
    </xf>
    <xf numFmtId="2" fontId="0" fillId="37" borderId="12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3" fillId="37" borderId="15" xfId="0" applyFont="1" applyFill="1" applyBorder="1" applyAlignment="1">
      <alignment/>
    </xf>
    <xf numFmtId="4" fontId="3" fillId="0" borderId="16" xfId="0" applyNumberFormat="1" applyFont="1" applyBorder="1" applyAlignment="1">
      <alignment/>
    </xf>
    <xf numFmtId="0" fontId="4" fillId="37" borderId="17" xfId="0" applyFont="1" applyFill="1" applyBorder="1" applyAlignment="1">
      <alignment/>
    </xf>
    <xf numFmtId="0" fontId="4" fillId="36" borderId="0" xfId="0" applyFont="1" applyFill="1" applyAlignment="1">
      <alignment/>
    </xf>
    <xf numFmtId="0" fontId="0" fillId="38" borderId="10" xfId="0" applyFill="1" applyBorder="1" applyAlignment="1">
      <alignment/>
    </xf>
    <xf numFmtId="2" fontId="4" fillId="0" borderId="18" xfId="0" applyNumberFormat="1" applyFont="1" applyBorder="1" applyAlignment="1">
      <alignment/>
    </xf>
    <xf numFmtId="182" fontId="5" fillId="39" borderId="10" xfId="0" applyNumberFormat="1" applyFont="1" applyFill="1" applyBorder="1" applyAlignment="1">
      <alignment/>
    </xf>
    <xf numFmtId="182" fontId="5" fillId="40" borderId="10" xfId="0" applyNumberFormat="1" applyFont="1" applyFill="1" applyBorder="1" applyAlignment="1">
      <alignment/>
    </xf>
    <xf numFmtId="182" fontId="5" fillId="41" borderId="10" xfId="0" applyNumberFormat="1" applyFont="1" applyFill="1" applyBorder="1" applyAlignment="1">
      <alignment/>
    </xf>
    <xf numFmtId="182" fontId="5" fillId="42" borderId="10" xfId="0" applyNumberFormat="1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2" fontId="5" fillId="38" borderId="19" xfId="0" applyNumberFormat="1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left" wrapText="1"/>
    </xf>
    <xf numFmtId="2" fontId="6" fillId="0" borderId="13" xfId="0" applyNumberFormat="1" applyFont="1" applyBorder="1" applyAlignment="1">
      <alignment horizontal="left" wrapText="1"/>
    </xf>
    <xf numFmtId="2" fontId="6" fillId="0" borderId="17" xfId="0" applyNumberFormat="1" applyFont="1" applyBorder="1" applyAlignment="1">
      <alignment horizontal="left" wrapText="1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4" fillId="39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4:U57"/>
  <sheetViews>
    <sheetView tabSelected="1" workbookViewId="0" topLeftCell="A4">
      <selection activeCell="N24" sqref="N24"/>
    </sheetView>
  </sheetViews>
  <sheetFormatPr defaultColWidth="9.140625" defaultRowHeight="12.75"/>
  <cols>
    <col min="1" max="1" width="2.8515625" style="0" customWidth="1"/>
    <col min="2" max="2" width="1.57421875" style="0" customWidth="1"/>
    <col min="3" max="3" width="2.140625" style="0" customWidth="1"/>
    <col min="4" max="4" width="10.00390625" style="0" customWidth="1"/>
    <col min="7" max="7" width="9.57421875" style="0" customWidth="1"/>
    <col min="16" max="16" width="10.28125" style="0" customWidth="1"/>
    <col min="17" max="17" width="10.57421875" style="0" customWidth="1"/>
  </cols>
  <sheetData>
    <row r="4" spans="1:18" ht="12.75">
      <c r="A4" s="47" t="s">
        <v>45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.75">
      <c r="A6" s="2"/>
      <c r="B6" s="2" t="s">
        <v>0</v>
      </c>
      <c r="C6" s="2" t="s">
        <v>1</v>
      </c>
      <c r="D6" s="36" t="s">
        <v>2</v>
      </c>
      <c r="E6" s="37"/>
      <c r="F6" s="38"/>
      <c r="G6" s="2" t="s">
        <v>3</v>
      </c>
      <c r="H6" s="2" t="s">
        <v>4</v>
      </c>
      <c r="I6" s="2" t="s">
        <v>5</v>
      </c>
      <c r="J6" s="2" t="s">
        <v>6</v>
      </c>
      <c r="K6" s="2" t="s">
        <v>7</v>
      </c>
      <c r="L6" s="2"/>
      <c r="M6" s="2"/>
      <c r="N6" s="2"/>
      <c r="O6" s="2" t="s">
        <v>24</v>
      </c>
      <c r="P6" s="2" t="s">
        <v>16</v>
      </c>
      <c r="Q6" s="1" t="s">
        <v>22</v>
      </c>
      <c r="R6" s="1" t="s">
        <v>21</v>
      </c>
    </row>
    <row r="7" spans="1:18" ht="12.75">
      <c r="A7" s="2"/>
      <c r="B7" s="2"/>
      <c r="C7" s="2" t="s">
        <v>8</v>
      </c>
      <c r="D7" s="2" t="s">
        <v>20</v>
      </c>
      <c r="E7" s="2" t="s">
        <v>9</v>
      </c>
      <c r="F7" s="2" t="s">
        <v>10</v>
      </c>
      <c r="G7" s="2" t="s">
        <v>11</v>
      </c>
      <c r="H7" s="2"/>
      <c r="I7" s="2" t="s">
        <v>12</v>
      </c>
      <c r="J7" s="2" t="s">
        <v>13</v>
      </c>
      <c r="K7" s="2" t="s">
        <v>14</v>
      </c>
      <c r="L7" s="2" t="s">
        <v>19</v>
      </c>
      <c r="M7" s="2" t="s">
        <v>17</v>
      </c>
      <c r="N7" s="2" t="s">
        <v>18</v>
      </c>
      <c r="O7" s="2"/>
      <c r="P7" s="2"/>
      <c r="Q7" s="1"/>
      <c r="R7" s="1"/>
    </row>
    <row r="8" spans="1:18" ht="12.75">
      <c r="A8" s="2"/>
      <c r="B8" s="2"/>
      <c r="C8" s="2"/>
      <c r="D8" s="2"/>
      <c r="E8" s="2"/>
      <c r="F8" s="21">
        <v>-99163.36</v>
      </c>
      <c r="G8" s="2"/>
      <c r="H8" s="2"/>
      <c r="I8" s="2"/>
      <c r="J8" s="2"/>
      <c r="K8" s="2"/>
      <c r="L8" s="2"/>
      <c r="M8" s="2"/>
      <c r="N8" s="2"/>
      <c r="O8" s="2"/>
      <c r="P8" s="2"/>
      <c r="Q8" s="1"/>
      <c r="R8" s="25">
        <v>15592.9</v>
      </c>
    </row>
    <row r="9" spans="1:18" ht="12.75">
      <c r="A9" s="3" t="s">
        <v>15</v>
      </c>
      <c r="B9" s="1"/>
      <c r="C9" s="1"/>
      <c r="D9" s="6">
        <f>9894.49+328.2</f>
        <v>10222.69</v>
      </c>
      <c r="E9" s="6">
        <f>6010.71+218.8</f>
        <v>6229.51</v>
      </c>
      <c r="F9" s="6">
        <f aca="true" t="shared" si="0" ref="F9:F21">SUM(D9:E9)</f>
        <v>16452.2</v>
      </c>
      <c r="G9" s="7">
        <f aca="true" t="shared" si="1" ref="G9:G20">SUM(F9*0.03)</f>
        <v>493.56600000000003</v>
      </c>
      <c r="H9" s="7">
        <f aca="true" t="shared" si="2" ref="H9:H21">SUM(F9*0.06)</f>
        <v>987.1320000000001</v>
      </c>
      <c r="I9" s="7">
        <v>2294</v>
      </c>
      <c r="J9" s="7">
        <v>0</v>
      </c>
      <c r="K9" s="7">
        <v>1998.97</v>
      </c>
      <c r="L9" s="7">
        <f>1500+280+540</f>
        <v>2320</v>
      </c>
      <c r="M9" s="7">
        <v>1700</v>
      </c>
      <c r="N9" s="7">
        <f aca="true" t="shared" si="3" ref="N9:N21">SUM(F9*0.15)</f>
        <v>2467.83</v>
      </c>
      <c r="O9" s="7">
        <v>3030</v>
      </c>
      <c r="P9" s="7">
        <f aca="true" t="shared" si="4" ref="P9:P21">SUM(G9:O9)</f>
        <v>15291.498000000001</v>
      </c>
      <c r="Q9" s="27">
        <f aca="true" t="shared" si="5" ref="Q9:Q21">F9-P9</f>
        <v>1160.7019999999993</v>
      </c>
      <c r="R9" s="23">
        <f>1708.58+54.7</f>
        <v>1763.28</v>
      </c>
    </row>
    <row r="10" spans="1:18" ht="12.75">
      <c r="A10" s="3" t="s">
        <v>46</v>
      </c>
      <c r="B10" s="1"/>
      <c r="C10" s="1"/>
      <c r="D10" s="6">
        <f>7946.31+1205.4</f>
        <v>9151.710000000001</v>
      </c>
      <c r="E10" s="6">
        <f>5475.92+803.6</f>
        <v>6279.52</v>
      </c>
      <c r="F10" s="6">
        <f t="shared" si="0"/>
        <v>15431.230000000001</v>
      </c>
      <c r="G10" s="7">
        <f t="shared" si="1"/>
        <v>462.93690000000004</v>
      </c>
      <c r="H10" s="7">
        <f t="shared" si="2"/>
        <v>925.8738000000001</v>
      </c>
      <c r="I10" s="7">
        <v>3012</v>
      </c>
      <c r="J10" s="7">
        <v>0</v>
      </c>
      <c r="K10" s="7">
        <v>1998.97</v>
      </c>
      <c r="L10" s="7">
        <v>1500</v>
      </c>
      <c r="M10" s="7">
        <v>1700</v>
      </c>
      <c r="N10" s="7">
        <f t="shared" si="3"/>
        <v>2314.6845000000003</v>
      </c>
      <c r="O10" s="7">
        <v>3030</v>
      </c>
      <c r="P10" s="7">
        <f t="shared" si="4"/>
        <v>14944.465199999999</v>
      </c>
      <c r="Q10" s="27">
        <f t="shared" si="5"/>
        <v>486.76480000000265</v>
      </c>
      <c r="R10" s="26">
        <f>1296.72+201.04</f>
        <v>1497.76</v>
      </c>
    </row>
    <row r="11" spans="1:18" ht="12.75">
      <c r="A11" s="3" t="s">
        <v>47</v>
      </c>
      <c r="B11" s="1"/>
      <c r="C11" s="1"/>
      <c r="D11" s="6">
        <f>8667.18+1122</f>
        <v>9789.18</v>
      </c>
      <c r="E11" s="6">
        <f>6452.32+748</f>
        <v>7200.32</v>
      </c>
      <c r="F11" s="6">
        <f t="shared" si="0"/>
        <v>16989.5</v>
      </c>
      <c r="G11" s="7">
        <f t="shared" si="1"/>
        <v>509.685</v>
      </c>
      <c r="H11" s="7">
        <f t="shared" si="2"/>
        <v>1019.37</v>
      </c>
      <c r="I11" s="7">
        <v>3012</v>
      </c>
      <c r="J11" s="7">
        <v>0</v>
      </c>
      <c r="K11" s="7">
        <v>1998.97</v>
      </c>
      <c r="L11" s="7">
        <v>1500</v>
      </c>
      <c r="M11" s="7">
        <v>1700</v>
      </c>
      <c r="N11" s="7">
        <f t="shared" si="3"/>
        <v>2548.4249999999997</v>
      </c>
      <c r="O11" s="7">
        <v>3030</v>
      </c>
      <c r="P11" s="7">
        <f t="shared" si="4"/>
        <v>15318.45</v>
      </c>
      <c r="Q11" s="27">
        <f t="shared" si="5"/>
        <v>1671.0499999999993</v>
      </c>
      <c r="R11" s="26">
        <f>1659.06+187</f>
        <v>1846.06</v>
      </c>
    </row>
    <row r="12" spans="1:18" ht="12.75">
      <c r="A12" s="3" t="s">
        <v>48</v>
      </c>
      <c r="B12" s="1"/>
      <c r="C12" s="1"/>
      <c r="D12" s="6">
        <f>6466.82+1126.8+432</f>
        <v>8025.62</v>
      </c>
      <c r="E12" s="6">
        <f>6101.24+751.2+288</f>
        <v>7140.44</v>
      </c>
      <c r="F12" s="6">
        <f t="shared" si="0"/>
        <v>15166.06</v>
      </c>
      <c r="G12" s="7">
        <f t="shared" si="1"/>
        <v>454.98179999999996</v>
      </c>
      <c r="H12" s="7">
        <f t="shared" si="2"/>
        <v>909.9635999999999</v>
      </c>
      <c r="I12" s="7">
        <v>3012</v>
      </c>
      <c r="J12" s="7">
        <v>217</v>
      </c>
      <c r="K12" s="7">
        <v>1998.97</v>
      </c>
      <c r="L12" s="7">
        <v>1500</v>
      </c>
      <c r="M12" s="7">
        <v>1700</v>
      </c>
      <c r="N12" s="7">
        <f t="shared" si="3"/>
        <v>2274.9089999999997</v>
      </c>
      <c r="O12" s="7">
        <v>3030</v>
      </c>
      <c r="P12" s="7">
        <f t="shared" si="4"/>
        <v>15097.8244</v>
      </c>
      <c r="Q12" s="27">
        <f t="shared" si="5"/>
        <v>68.23559999999998</v>
      </c>
      <c r="R12" s="26">
        <f>1527.1+187.8</f>
        <v>1714.8999999999999</v>
      </c>
    </row>
    <row r="13" spans="1:18" ht="12.75">
      <c r="A13" s="3" t="s">
        <v>49</v>
      </c>
      <c r="B13" s="1"/>
      <c r="C13" s="1"/>
      <c r="D13" s="6">
        <f>8943.2+1849.2</f>
        <v>10792.400000000001</v>
      </c>
      <c r="E13" s="6">
        <f>5275.88+1232.8</f>
        <v>6508.68</v>
      </c>
      <c r="F13" s="6">
        <f t="shared" si="0"/>
        <v>17301.08</v>
      </c>
      <c r="G13" s="7">
        <f t="shared" si="1"/>
        <v>519.0324</v>
      </c>
      <c r="H13" s="7">
        <f t="shared" si="2"/>
        <v>1038.0648</v>
      </c>
      <c r="I13" s="7">
        <v>3012</v>
      </c>
      <c r="J13" s="7">
        <v>767</v>
      </c>
      <c r="K13" s="7">
        <v>1998.97</v>
      </c>
      <c r="L13" s="7">
        <v>1500</v>
      </c>
      <c r="M13" s="7">
        <v>500</v>
      </c>
      <c r="N13" s="7">
        <f t="shared" si="3"/>
        <v>2595.1620000000003</v>
      </c>
      <c r="O13" s="7">
        <v>3030</v>
      </c>
      <c r="P13" s="7">
        <f t="shared" si="4"/>
        <v>14960.229200000002</v>
      </c>
      <c r="Q13" s="27">
        <f t="shared" si="5"/>
        <v>2340.8508</v>
      </c>
      <c r="R13" s="26">
        <f>1890.87+308.2</f>
        <v>2199.0699999999997</v>
      </c>
    </row>
    <row r="14" spans="1:18" ht="12.75">
      <c r="A14" s="3" t="s">
        <v>53</v>
      </c>
      <c r="B14" s="1"/>
      <c r="C14" s="1"/>
      <c r="D14" s="6">
        <f>6164.73+1851.6+219</f>
        <v>8235.33</v>
      </c>
      <c r="E14" s="6">
        <f>4151.74+1234.4+182.5</f>
        <v>5568.639999999999</v>
      </c>
      <c r="F14" s="6">
        <f t="shared" si="0"/>
        <v>13803.97</v>
      </c>
      <c r="G14" s="7">
        <f t="shared" si="1"/>
        <v>414.11909999999995</v>
      </c>
      <c r="H14" s="7">
        <f t="shared" si="2"/>
        <v>828.2381999999999</v>
      </c>
      <c r="I14" s="7">
        <v>3012</v>
      </c>
      <c r="J14" s="7">
        <v>290</v>
      </c>
      <c r="K14" s="7">
        <v>1998.97</v>
      </c>
      <c r="L14" s="7">
        <f>1500+4500</f>
        <v>6000</v>
      </c>
      <c r="M14" s="7">
        <v>500</v>
      </c>
      <c r="N14" s="7">
        <f t="shared" si="3"/>
        <v>2070.5955</v>
      </c>
      <c r="O14" s="7">
        <v>3030</v>
      </c>
      <c r="P14" s="7">
        <f t="shared" si="4"/>
        <v>18143.9228</v>
      </c>
      <c r="Q14" s="27">
        <f t="shared" si="5"/>
        <v>-4339.952800000001</v>
      </c>
      <c r="R14" s="26">
        <f>937.3+308.6</f>
        <v>1245.9</v>
      </c>
    </row>
    <row r="15" spans="1:18" ht="12.75">
      <c r="A15" s="3" t="s">
        <v>25</v>
      </c>
      <c r="B15" s="1"/>
      <c r="C15" s="1"/>
      <c r="D15" s="6">
        <f>8435.07+1455.6+219</f>
        <v>10109.67</v>
      </c>
      <c r="E15" s="6">
        <f>5152.78+970.4+182.5</f>
        <v>6305.679999999999</v>
      </c>
      <c r="F15" s="6">
        <f t="shared" si="0"/>
        <v>16415.35</v>
      </c>
      <c r="G15" s="7">
        <f t="shared" si="1"/>
        <v>492.4604999999999</v>
      </c>
      <c r="H15" s="7">
        <f t="shared" si="2"/>
        <v>984.9209999999998</v>
      </c>
      <c r="I15" s="7">
        <v>0</v>
      </c>
      <c r="J15" s="7">
        <v>0</v>
      </c>
      <c r="K15" s="7">
        <v>1998.97</v>
      </c>
      <c r="L15" s="7">
        <v>1500</v>
      </c>
      <c r="M15" s="7">
        <v>500</v>
      </c>
      <c r="N15" s="7">
        <f t="shared" si="3"/>
        <v>2462.3025</v>
      </c>
      <c r="O15" s="7">
        <v>3030</v>
      </c>
      <c r="P15" s="7">
        <f t="shared" si="4"/>
        <v>10968.653999999999</v>
      </c>
      <c r="Q15" s="27">
        <f t="shared" si="5"/>
        <v>5446.696</v>
      </c>
      <c r="R15" s="26">
        <f>1531.03+242.6</f>
        <v>1773.6299999999999</v>
      </c>
    </row>
    <row r="16" spans="1:18" ht="12.75">
      <c r="A16" s="3" t="s">
        <v>26</v>
      </c>
      <c r="B16" s="1"/>
      <c r="C16" s="1"/>
      <c r="D16" s="6">
        <f>7572+1858.2+219</f>
        <v>9649.2</v>
      </c>
      <c r="E16" s="6">
        <f>5577.71+1238.8+444</f>
        <v>7260.51</v>
      </c>
      <c r="F16" s="6">
        <f t="shared" si="0"/>
        <v>16909.71</v>
      </c>
      <c r="G16" s="7">
        <f t="shared" si="1"/>
        <v>507.2913</v>
      </c>
      <c r="H16" s="7">
        <f t="shared" si="2"/>
        <v>1014.5826</v>
      </c>
      <c r="I16" s="7">
        <v>0</v>
      </c>
      <c r="J16" s="7">
        <f>8365+5793</f>
        <v>14158</v>
      </c>
      <c r="K16" s="7">
        <v>1998.97</v>
      </c>
      <c r="L16" s="7">
        <v>1500</v>
      </c>
      <c r="M16" s="7">
        <v>500</v>
      </c>
      <c r="N16" s="7">
        <f t="shared" si="3"/>
        <v>2536.4565</v>
      </c>
      <c r="O16" s="7">
        <v>3030</v>
      </c>
      <c r="P16" s="7">
        <f t="shared" si="4"/>
        <v>25245.3004</v>
      </c>
      <c r="Q16" s="27">
        <f t="shared" si="5"/>
        <v>-8335.590400000001</v>
      </c>
      <c r="R16" s="26">
        <f>1297.5+309.7</f>
        <v>1607.2</v>
      </c>
    </row>
    <row r="17" spans="1:18" ht="12.75">
      <c r="A17" s="3" t="s">
        <v>34</v>
      </c>
      <c r="B17" s="1"/>
      <c r="C17" s="1"/>
      <c r="D17" s="6">
        <f>5623.91+2067+219</f>
        <v>7909.91</v>
      </c>
      <c r="E17" s="6">
        <f>5427.18+1378+182.5</f>
        <v>6987.68</v>
      </c>
      <c r="F17" s="6">
        <f t="shared" si="0"/>
        <v>14897.59</v>
      </c>
      <c r="G17" s="7">
        <f t="shared" si="1"/>
        <v>446.9277</v>
      </c>
      <c r="H17" s="7">
        <f t="shared" si="2"/>
        <v>893.8554</v>
      </c>
      <c r="I17" s="7">
        <v>0</v>
      </c>
      <c r="J17" s="7">
        <v>376</v>
      </c>
      <c r="K17" s="7">
        <v>1998.97</v>
      </c>
      <c r="L17" s="7">
        <v>1500</v>
      </c>
      <c r="M17" s="7">
        <v>500</v>
      </c>
      <c r="N17" s="7">
        <f t="shared" si="3"/>
        <v>2234.6385</v>
      </c>
      <c r="O17" s="7">
        <v>3030</v>
      </c>
      <c r="P17" s="7">
        <f t="shared" si="4"/>
        <v>10980.391599999999</v>
      </c>
      <c r="Q17" s="27">
        <f t="shared" si="5"/>
        <v>3917.198400000001</v>
      </c>
      <c r="R17" s="26">
        <f>1126.2+344.5</f>
        <v>1470.7</v>
      </c>
    </row>
    <row r="18" spans="1:18" ht="12.75">
      <c r="A18" s="3" t="s">
        <v>35</v>
      </c>
      <c r="B18" s="1"/>
      <c r="C18" s="1"/>
      <c r="D18" s="6">
        <f>7674.04+1500</f>
        <v>9174.04</v>
      </c>
      <c r="E18" s="6">
        <f>4007.9+1000</f>
        <v>5007.9</v>
      </c>
      <c r="F18" s="6">
        <f t="shared" si="0"/>
        <v>14181.94</v>
      </c>
      <c r="G18" s="7">
        <f t="shared" si="1"/>
        <v>425.4582</v>
      </c>
      <c r="H18" s="7">
        <f t="shared" si="2"/>
        <v>850.9164</v>
      </c>
      <c r="I18" s="7">
        <v>0</v>
      </c>
      <c r="J18" s="7">
        <v>5956</v>
      </c>
      <c r="K18" s="7">
        <v>1998.97</v>
      </c>
      <c r="L18" s="7">
        <v>1500</v>
      </c>
      <c r="M18" s="7">
        <v>1700</v>
      </c>
      <c r="N18" s="7">
        <f t="shared" si="3"/>
        <v>2127.291</v>
      </c>
      <c r="O18" s="7">
        <v>3030</v>
      </c>
      <c r="P18" s="7">
        <f t="shared" si="4"/>
        <v>17588.6356</v>
      </c>
      <c r="Q18" s="27">
        <f t="shared" si="5"/>
        <v>-3406.695600000001</v>
      </c>
      <c r="R18" s="26">
        <f>1193+250</f>
        <v>1443</v>
      </c>
    </row>
    <row r="19" spans="1:18" ht="12.75">
      <c r="A19" s="3" t="s">
        <v>41</v>
      </c>
      <c r="B19" s="1"/>
      <c r="C19" s="1"/>
      <c r="D19" s="6">
        <f>4927.55+3608.4</f>
        <v>8535.95</v>
      </c>
      <c r="E19" s="6">
        <f>3722+2405.6</f>
        <v>6127.6</v>
      </c>
      <c r="F19" s="6">
        <f t="shared" si="0"/>
        <v>14663.550000000001</v>
      </c>
      <c r="G19" s="7">
        <f t="shared" si="1"/>
        <v>439.9065</v>
      </c>
      <c r="H19" s="7">
        <f t="shared" si="2"/>
        <v>879.813</v>
      </c>
      <c r="I19" s="7">
        <v>3012</v>
      </c>
      <c r="J19" s="7">
        <v>0</v>
      </c>
      <c r="K19" s="7">
        <v>1998.97</v>
      </c>
      <c r="L19" s="7">
        <v>1500</v>
      </c>
      <c r="M19" s="7">
        <v>1700</v>
      </c>
      <c r="N19" s="7">
        <f t="shared" si="3"/>
        <v>2199.5325000000003</v>
      </c>
      <c r="O19" s="7">
        <v>3030</v>
      </c>
      <c r="P19" s="7">
        <f t="shared" si="4"/>
        <v>14760.222000000002</v>
      </c>
      <c r="Q19" s="27">
        <f t="shared" si="5"/>
        <v>-96.67200000000048</v>
      </c>
      <c r="R19" s="26">
        <f>930.23+601.4+590</f>
        <v>2121.63</v>
      </c>
    </row>
    <row r="20" spans="1:18" ht="12.75">
      <c r="A20" s="3" t="s">
        <v>43</v>
      </c>
      <c r="B20" s="1"/>
      <c r="C20" s="1"/>
      <c r="D20" s="6">
        <f>4988.9+3200.4+663.6</f>
        <v>8852.9</v>
      </c>
      <c r="E20" s="6">
        <f>2888.8+1985.2+442.4</f>
        <v>5316.4</v>
      </c>
      <c r="F20" s="6">
        <f t="shared" si="0"/>
        <v>14169.3</v>
      </c>
      <c r="G20" s="7">
        <f t="shared" si="1"/>
        <v>425.07899999999995</v>
      </c>
      <c r="H20" s="7">
        <f t="shared" si="2"/>
        <v>850.1579999999999</v>
      </c>
      <c r="I20" s="7">
        <v>3012</v>
      </c>
      <c r="J20" s="7">
        <v>0</v>
      </c>
      <c r="K20" s="7">
        <v>1998.97</v>
      </c>
      <c r="L20" s="7">
        <v>1500</v>
      </c>
      <c r="M20" s="7">
        <v>1700</v>
      </c>
      <c r="N20" s="7">
        <f t="shared" si="3"/>
        <v>2125.395</v>
      </c>
      <c r="O20" s="7">
        <v>3030</v>
      </c>
      <c r="P20" s="7">
        <f t="shared" si="4"/>
        <v>14641.602</v>
      </c>
      <c r="Q20" s="27">
        <f t="shared" si="5"/>
        <v>-472.3020000000015</v>
      </c>
      <c r="R20" s="26">
        <f>685.7+496.3+110.6</f>
        <v>1292.6</v>
      </c>
    </row>
    <row r="21" spans="1:18" ht="13.5" thickBot="1">
      <c r="A21" s="30" t="s">
        <v>36</v>
      </c>
      <c r="B21" s="30"/>
      <c r="C21" s="30"/>
      <c r="D21" s="6">
        <f>499.07+1996.63</f>
        <v>2495.7000000000003</v>
      </c>
      <c r="E21" s="6">
        <v>0</v>
      </c>
      <c r="F21" s="6">
        <f t="shared" si="0"/>
        <v>2495.7000000000003</v>
      </c>
      <c r="G21" s="7">
        <v>0</v>
      </c>
      <c r="H21" s="7">
        <f t="shared" si="2"/>
        <v>149.74200000000002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f t="shared" si="3"/>
        <v>374.355</v>
      </c>
      <c r="O21" s="7">
        <v>0</v>
      </c>
      <c r="P21" s="7">
        <f t="shared" si="4"/>
        <v>524.097</v>
      </c>
      <c r="Q21" s="27">
        <f t="shared" si="5"/>
        <v>1971.6030000000003</v>
      </c>
      <c r="R21" s="26">
        <v>0</v>
      </c>
    </row>
    <row r="22" spans="1:18" ht="13.5" thickBot="1">
      <c r="A22" s="19" t="s">
        <v>10</v>
      </c>
      <c r="B22" s="19"/>
      <c r="C22" s="19"/>
      <c r="D22" s="20">
        <f>SUM(D9:D21)</f>
        <v>112944.29999999999</v>
      </c>
      <c r="E22" s="20">
        <f>SUM(E9:E21)</f>
        <v>75932.88</v>
      </c>
      <c r="F22" s="19">
        <f>SUM(F8:F21)</f>
        <v>89713.81999999999</v>
      </c>
      <c r="G22" s="22">
        <f aca="true" t="shared" si="6" ref="G22:P22">SUM(G9:G21)</f>
        <v>5591.4444</v>
      </c>
      <c r="H22" s="22">
        <f t="shared" si="6"/>
        <v>11332.6308</v>
      </c>
      <c r="I22" s="22">
        <f t="shared" si="6"/>
        <v>23378</v>
      </c>
      <c r="J22" s="22">
        <f t="shared" si="6"/>
        <v>21764</v>
      </c>
      <c r="K22" s="22">
        <f t="shared" si="6"/>
        <v>23987.640000000003</v>
      </c>
      <c r="L22" s="22">
        <f t="shared" si="6"/>
        <v>23320</v>
      </c>
      <c r="M22" s="22">
        <f t="shared" si="6"/>
        <v>14400</v>
      </c>
      <c r="N22" s="22">
        <f t="shared" si="6"/>
        <v>28331.577</v>
      </c>
      <c r="O22" s="22">
        <f t="shared" si="6"/>
        <v>36360</v>
      </c>
      <c r="P22" s="24">
        <f t="shared" si="6"/>
        <v>188465.29220000003</v>
      </c>
      <c r="Q22" s="31">
        <f>F22-P22</f>
        <v>-98751.47220000003</v>
      </c>
      <c r="R22" s="28">
        <f>SUM(R8:R21)</f>
        <v>35568.630000000005</v>
      </c>
    </row>
    <row r="23" ht="12.75">
      <c r="R23" s="29">
        <f>R22*0.91</f>
        <v>32367.453300000005</v>
      </c>
    </row>
    <row r="28" spans="5:17" ht="12.75">
      <c r="E28" s="46" t="s">
        <v>23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</row>
    <row r="31" spans="4:16" ht="12.75">
      <c r="D31" s="39" t="s">
        <v>65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</row>
    <row r="32" spans="4:16" ht="12.75">
      <c r="D32" s="8" t="s">
        <v>27</v>
      </c>
      <c r="E32" s="43" t="s">
        <v>28</v>
      </c>
      <c r="F32" s="44"/>
      <c r="G32" s="44"/>
      <c r="H32" s="44"/>
      <c r="I32" s="44"/>
      <c r="J32" s="44"/>
      <c r="K32" s="44"/>
      <c r="L32" s="44"/>
      <c r="M32" s="44"/>
      <c r="N32" s="45"/>
      <c r="O32" s="1" t="s">
        <v>29</v>
      </c>
      <c r="P32" s="1" t="s">
        <v>30</v>
      </c>
    </row>
    <row r="33" spans="4:16" ht="12.75">
      <c r="D33" s="9" t="s">
        <v>48</v>
      </c>
      <c r="E33" s="40" t="s">
        <v>51</v>
      </c>
      <c r="F33" s="41"/>
      <c r="G33" s="41"/>
      <c r="H33" s="41"/>
      <c r="I33" s="41"/>
      <c r="J33" s="41"/>
      <c r="K33" s="41"/>
      <c r="L33" s="41"/>
      <c r="M33" s="41"/>
      <c r="N33" s="42"/>
      <c r="O33" s="1" t="s">
        <v>52</v>
      </c>
      <c r="P33" s="1">
        <v>0.02</v>
      </c>
    </row>
    <row r="34" spans="4:17" ht="12.75">
      <c r="D34" s="10" t="s">
        <v>31</v>
      </c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3" t="s">
        <v>32</v>
      </c>
      <c r="P34" s="14">
        <v>0.217</v>
      </c>
      <c r="Q34" t="s">
        <v>50</v>
      </c>
    </row>
    <row r="35" spans="4:16" ht="12.75">
      <c r="D35" s="9" t="s">
        <v>49</v>
      </c>
      <c r="E35" s="40" t="s">
        <v>55</v>
      </c>
      <c r="F35" s="41"/>
      <c r="G35" s="41"/>
      <c r="H35" s="41"/>
      <c r="I35" s="41"/>
      <c r="J35" s="41"/>
      <c r="K35" s="41"/>
      <c r="L35" s="41"/>
      <c r="M35" s="41"/>
      <c r="N35" s="42"/>
      <c r="O35" s="1" t="s">
        <v>33</v>
      </c>
      <c r="P35" s="1">
        <v>0.08</v>
      </c>
    </row>
    <row r="36" spans="4:17" ht="12.75">
      <c r="D36" s="10" t="s">
        <v>31</v>
      </c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3" t="s">
        <v>32</v>
      </c>
      <c r="P36" s="14">
        <v>0.767</v>
      </c>
      <c r="Q36" t="s">
        <v>54</v>
      </c>
    </row>
    <row r="37" spans="4:16" ht="12.75">
      <c r="D37" s="9" t="s">
        <v>53</v>
      </c>
      <c r="E37" s="40" t="s">
        <v>57</v>
      </c>
      <c r="F37" s="41"/>
      <c r="G37" s="41"/>
      <c r="H37" s="41"/>
      <c r="I37" s="41"/>
      <c r="J37" s="41"/>
      <c r="K37" s="41"/>
      <c r="L37" s="41"/>
      <c r="M37" s="41"/>
      <c r="N37" s="42"/>
      <c r="O37" s="1" t="s">
        <v>33</v>
      </c>
      <c r="P37" s="1">
        <v>0.003</v>
      </c>
    </row>
    <row r="38" spans="4:17" ht="12.75">
      <c r="D38" s="10" t="s">
        <v>31</v>
      </c>
      <c r="E38" s="11"/>
      <c r="F38" s="12"/>
      <c r="G38" s="12"/>
      <c r="H38" s="12"/>
      <c r="I38" s="12"/>
      <c r="J38" s="12"/>
      <c r="K38" s="12"/>
      <c r="L38" s="12"/>
      <c r="M38" s="12"/>
      <c r="N38" s="12"/>
      <c r="O38" s="13" t="s">
        <v>32</v>
      </c>
      <c r="P38" s="32">
        <v>0.29</v>
      </c>
      <c r="Q38" t="s">
        <v>56</v>
      </c>
    </row>
    <row r="39" spans="4:16" ht="27" customHeight="1">
      <c r="D39" s="9" t="s">
        <v>26</v>
      </c>
      <c r="E39" s="40" t="s">
        <v>58</v>
      </c>
      <c r="F39" s="41"/>
      <c r="G39" s="41"/>
      <c r="H39" s="41"/>
      <c r="I39" s="41"/>
      <c r="J39" s="41"/>
      <c r="K39" s="41"/>
      <c r="L39" s="41"/>
      <c r="M39" s="41"/>
      <c r="N39" s="42"/>
      <c r="O39" s="1" t="s">
        <v>33</v>
      </c>
      <c r="P39" s="1">
        <v>3.1</v>
      </c>
    </row>
    <row r="40" spans="4:16" ht="12.75">
      <c r="D40" s="10" t="s">
        <v>31</v>
      </c>
      <c r="E40" s="11"/>
      <c r="F40" s="12"/>
      <c r="G40" s="12"/>
      <c r="H40" s="12"/>
      <c r="I40" s="12"/>
      <c r="J40" s="12"/>
      <c r="K40" s="12"/>
      <c r="L40" s="12"/>
      <c r="M40" s="12"/>
      <c r="N40" s="12"/>
      <c r="O40" s="13" t="s">
        <v>32</v>
      </c>
      <c r="P40" s="33">
        <v>8.365</v>
      </c>
    </row>
    <row r="41" spans="4:16" ht="27.75" customHeight="1">
      <c r="D41" s="9" t="s">
        <v>26</v>
      </c>
      <c r="E41" s="40" t="s">
        <v>59</v>
      </c>
      <c r="F41" s="41"/>
      <c r="G41" s="41"/>
      <c r="H41" s="41"/>
      <c r="I41" s="41"/>
      <c r="J41" s="41"/>
      <c r="K41" s="41"/>
      <c r="L41" s="41"/>
      <c r="M41" s="41"/>
      <c r="N41" s="42"/>
      <c r="O41" s="1" t="s">
        <v>42</v>
      </c>
      <c r="P41" s="1">
        <v>0.35</v>
      </c>
    </row>
    <row r="42" spans="4:16" ht="27.75" customHeight="1">
      <c r="D42" s="9"/>
      <c r="E42" s="40" t="s">
        <v>60</v>
      </c>
      <c r="F42" s="41"/>
      <c r="G42" s="41"/>
      <c r="H42" s="41"/>
      <c r="I42" s="41"/>
      <c r="J42" s="41"/>
      <c r="K42" s="41"/>
      <c r="L42" s="41"/>
      <c r="M42" s="41"/>
      <c r="N42" s="42"/>
      <c r="O42" s="1" t="s">
        <v>61</v>
      </c>
      <c r="P42" s="1">
        <v>0.03</v>
      </c>
    </row>
    <row r="43" spans="4:16" ht="27.75" customHeight="1">
      <c r="D43" s="9"/>
      <c r="E43" s="40" t="s">
        <v>62</v>
      </c>
      <c r="F43" s="41"/>
      <c r="G43" s="41"/>
      <c r="H43" s="41"/>
      <c r="I43" s="41"/>
      <c r="J43" s="41"/>
      <c r="K43" s="41"/>
      <c r="L43" s="41"/>
      <c r="M43" s="41"/>
      <c r="N43" s="42"/>
      <c r="O43" s="1" t="s">
        <v>61</v>
      </c>
      <c r="P43" s="1">
        <v>0.03</v>
      </c>
    </row>
    <row r="44" spans="4:16" ht="12.75">
      <c r="D44" s="10" t="s">
        <v>31</v>
      </c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3" t="s">
        <v>32</v>
      </c>
      <c r="P44" s="33">
        <v>5.793</v>
      </c>
    </row>
    <row r="45" spans="4:16" ht="12.75">
      <c r="D45" s="9" t="s">
        <v>34</v>
      </c>
      <c r="E45" s="40" t="s">
        <v>64</v>
      </c>
      <c r="F45" s="41"/>
      <c r="G45" s="41"/>
      <c r="H45" s="41"/>
      <c r="I45" s="41"/>
      <c r="J45" s="41"/>
      <c r="K45" s="41"/>
      <c r="L45" s="41"/>
      <c r="M45" s="41"/>
      <c r="N45" s="42"/>
      <c r="O45" s="1" t="s">
        <v>61</v>
      </c>
      <c r="P45" s="1">
        <v>0.01</v>
      </c>
    </row>
    <row r="46" spans="4:17" ht="12.75">
      <c r="D46" s="10" t="s">
        <v>31</v>
      </c>
      <c r="E46" s="11"/>
      <c r="F46" s="12"/>
      <c r="G46" s="12"/>
      <c r="H46" s="12"/>
      <c r="I46" s="12"/>
      <c r="J46" s="12"/>
      <c r="K46" s="12"/>
      <c r="L46" s="12"/>
      <c r="M46" s="12"/>
      <c r="N46" s="12"/>
      <c r="O46" s="13" t="s">
        <v>32</v>
      </c>
      <c r="P46" s="34">
        <v>0.376</v>
      </c>
      <c r="Q46" t="s">
        <v>63</v>
      </c>
    </row>
    <row r="47" spans="4:21" ht="12.75">
      <c r="D47" s="9" t="s">
        <v>35</v>
      </c>
      <c r="E47" s="40" t="s">
        <v>67</v>
      </c>
      <c r="F47" s="41"/>
      <c r="G47" s="41"/>
      <c r="H47" s="41"/>
      <c r="I47" s="41"/>
      <c r="J47" s="41"/>
      <c r="K47" s="41"/>
      <c r="L47" s="41"/>
      <c r="M47" s="41"/>
      <c r="N47" s="42"/>
      <c r="O47" s="1" t="s">
        <v>40</v>
      </c>
      <c r="P47" s="1">
        <v>0.1</v>
      </c>
      <c r="R47" s="18"/>
      <c r="S47" s="18"/>
      <c r="T47" s="18"/>
      <c r="U47" s="18"/>
    </row>
    <row r="48" spans="4:21" ht="12.75">
      <c r="D48" s="10" t="s">
        <v>31</v>
      </c>
      <c r="E48" s="11"/>
      <c r="F48" s="12"/>
      <c r="G48" s="12"/>
      <c r="H48" s="12"/>
      <c r="I48" s="12"/>
      <c r="J48" s="12"/>
      <c r="K48" s="12"/>
      <c r="L48" s="12"/>
      <c r="M48" s="12"/>
      <c r="N48" s="12"/>
      <c r="O48" s="13" t="s">
        <v>32</v>
      </c>
      <c r="P48" s="35">
        <v>5.956</v>
      </c>
      <c r="Q48" t="s">
        <v>66</v>
      </c>
      <c r="R48" s="18"/>
      <c r="S48" s="18"/>
      <c r="T48" s="18"/>
      <c r="U48" s="18"/>
    </row>
    <row r="49" spans="5:8" ht="12.75">
      <c r="E49" s="18"/>
      <c r="F49" s="18"/>
      <c r="G49" s="18"/>
      <c r="H49" s="18"/>
    </row>
    <row r="50" spans="5:8" ht="12.75">
      <c r="E50" s="18"/>
      <c r="F50" s="18"/>
      <c r="G50" s="18"/>
      <c r="H50" s="18"/>
    </row>
    <row r="51" spans="6:7" ht="12.75">
      <c r="F51" s="16"/>
      <c r="G51" s="16"/>
    </row>
    <row r="52" spans="6:7" ht="12.75">
      <c r="F52" s="3"/>
      <c r="G52" s="17" t="s">
        <v>36</v>
      </c>
    </row>
    <row r="53" spans="6:7" ht="12.75">
      <c r="F53" s="15" t="s">
        <v>37</v>
      </c>
      <c r="G53" s="1">
        <v>499.07</v>
      </c>
    </row>
    <row r="54" spans="6:7" ht="12.75">
      <c r="F54" s="15" t="s">
        <v>38</v>
      </c>
      <c r="G54" s="1">
        <v>0</v>
      </c>
    </row>
    <row r="55" spans="6:7" ht="12.75">
      <c r="F55" s="15" t="s">
        <v>39</v>
      </c>
      <c r="G55" s="1">
        <v>1996.63</v>
      </c>
    </row>
    <row r="56" spans="6:7" ht="12.75">
      <c r="F56" s="15" t="s">
        <v>44</v>
      </c>
      <c r="G56" s="1">
        <v>0</v>
      </c>
    </row>
    <row r="57" spans="6:7" ht="12.75">
      <c r="F57" s="17" t="s">
        <v>31</v>
      </c>
      <c r="G57" s="17">
        <f>SUM(G53:G56)</f>
        <v>2495.7000000000003</v>
      </c>
    </row>
  </sheetData>
  <sheetProtection/>
  <mergeCells count="14">
    <mergeCell ref="E35:N35"/>
    <mergeCell ref="E47:N47"/>
    <mergeCell ref="E45:N45"/>
    <mergeCell ref="E41:N41"/>
    <mergeCell ref="E42:N42"/>
    <mergeCell ref="E43:N43"/>
    <mergeCell ref="E39:N39"/>
    <mergeCell ref="E37:N37"/>
    <mergeCell ref="A4:R4"/>
    <mergeCell ref="D6:F6"/>
    <mergeCell ref="E28:Q28"/>
    <mergeCell ref="D31:P31"/>
    <mergeCell ref="E32:N32"/>
    <mergeCell ref="E33:N33"/>
  </mergeCells>
  <printOptions/>
  <pageMargins left="0.25" right="0.010416666666666666" top="1" bottom="1" header="0.5" footer="0.5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2013-12-09T10:54:00Z</cp:lastPrinted>
  <dcterms:created xsi:type="dcterms:W3CDTF">1996-10-08T23:32:33Z</dcterms:created>
  <dcterms:modified xsi:type="dcterms:W3CDTF">2014-02-13T06:32:11Z</dcterms:modified>
  <cp:category/>
  <cp:version/>
  <cp:contentType/>
  <cp:contentStatus/>
</cp:coreProperties>
</file>