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2014" sheetId="2" r:id="rId1"/>
  </sheets>
  <definedNames>
    <definedName name="_xlnm.Print_Area" localSheetId="0">'2014'!$A$46:$R$94</definedName>
  </definedNames>
  <calcPr calcId="145621" refMode="R1C1"/>
</workbook>
</file>

<file path=xl/calcChain.xml><?xml version="1.0" encoding="utf-8"?>
<calcChain xmlns="http://schemas.openxmlformats.org/spreadsheetml/2006/main">
  <c r="N35" i="2" l="1"/>
  <c r="K16" i="2"/>
  <c r="R27" i="2"/>
  <c r="R28" i="2" s="1"/>
  <c r="K10" i="2"/>
  <c r="M13" i="2"/>
  <c r="K17" i="2"/>
  <c r="K13" i="2"/>
  <c r="D20" i="2"/>
  <c r="F20" i="2" s="1"/>
  <c r="N21" i="2"/>
  <c r="J21" i="2"/>
  <c r="I21" i="2"/>
  <c r="K21" i="2" l="1"/>
  <c r="H20" i="2"/>
  <c r="P20" i="2" s="1"/>
  <c r="O20" i="2"/>
  <c r="Q20" i="2"/>
  <c r="D19" i="2"/>
  <c r="E19" i="2"/>
  <c r="F19" i="2" s="1"/>
  <c r="K19" i="2"/>
  <c r="M19" i="2"/>
  <c r="R19" i="2"/>
  <c r="D18" i="2"/>
  <c r="E18" i="2"/>
  <c r="M18" i="2"/>
  <c r="R18" i="2"/>
  <c r="D17" i="2"/>
  <c r="E17" i="2"/>
  <c r="F17" i="2" s="1"/>
  <c r="R17" i="2"/>
  <c r="G17" i="2" l="1"/>
  <c r="H17" i="2"/>
  <c r="F18" i="2"/>
  <c r="G19" i="2"/>
  <c r="H19" i="2"/>
  <c r="P19" i="2" s="1"/>
  <c r="Q19" i="2" s="1"/>
  <c r="O19" i="2"/>
  <c r="P17" i="2"/>
  <c r="Q17" i="2" s="1"/>
  <c r="O17" i="2"/>
  <c r="G18" i="2" l="1"/>
  <c r="H18" i="2"/>
  <c r="O18" i="2"/>
  <c r="P18" i="2" s="1"/>
  <c r="Q18" i="2" s="1"/>
  <c r="M16" i="2" l="1"/>
  <c r="D16" i="2" l="1"/>
  <c r="E16" i="2"/>
  <c r="R16" i="2"/>
  <c r="F16" i="2" l="1"/>
  <c r="H16" i="2" s="1"/>
  <c r="R15" i="2"/>
  <c r="E15" i="2"/>
  <c r="D15" i="2"/>
  <c r="G16" i="2" l="1"/>
  <c r="O16" i="2"/>
  <c r="M15" i="2"/>
  <c r="P16" i="2" l="1"/>
  <c r="Q16" i="2" s="1"/>
  <c r="F15" i="2"/>
  <c r="G15" i="2" l="1"/>
  <c r="H15" i="2"/>
  <c r="O15" i="2"/>
  <c r="M14" i="2"/>
  <c r="P15" i="2" l="1"/>
  <c r="Q15" i="2" s="1"/>
  <c r="R14" i="2"/>
  <c r="E14" i="2"/>
  <c r="D14" i="2"/>
  <c r="F14" i="2" l="1"/>
  <c r="H14" i="2" s="1"/>
  <c r="O14" i="2" l="1"/>
  <c r="G14" i="2"/>
  <c r="P14" i="2" l="1"/>
  <c r="Q14" i="2" s="1"/>
  <c r="E13" i="2"/>
  <c r="D13" i="2"/>
  <c r="R13" i="2"/>
  <c r="F13" i="2" l="1"/>
  <c r="G13" i="2" l="1"/>
  <c r="H13" i="2"/>
  <c r="O13" i="2"/>
  <c r="R12" i="2"/>
  <c r="E12" i="2"/>
  <c r="D12" i="2"/>
  <c r="P13" i="2" l="1"/>
  <c r="Q13" i="2" s="1"/>
  <c r="F12" i="2"/>
  <c r="H12" i="2" s="1"/>
  <c r="K11" i="2"/>
  <c r="G12" i="2" l="1"/>
  <c r="O12" i="2"/>
  <c r="D11" i="2"/>
  <c r="E11" i="2"/>
  <c r="R11" i="2"/>
  <c r="P12" i="2" l="1"/>
  <c r="Q12" i="2" s="1"/>
  <c r="F11" i="2"/>
  <c r="G11" i="2" l="1"/>
  <c r="H11" i="2"/>
  <c r="O11" i="2"/>
  <c r="P11" i="2" l="1"/>
  <c r="Q11" i="2" s="1"/>
  <c r="M10" i="2"/>
  <c r="E10" i="2" l="1"/>
  <c r="R10" i="2"/>
  <c r="D10" i="2"/>
  <c r="F10" i="2" s="1"/>
  <c r="H10" i="2" s="1"/>
  <c r="G10" i="2" l="1"/>
  <c r="O10" i="2"/>
  <c r="M9" i="2"/>
  <c r="M21" i="2" s="1"/>
  <c r="P10" i="2" l="1"/>
  <c r="Q10" i="2" s="1"/>
  <c r="R9" i="2"/>
  <c r="E9" i="2"/>
  <c r="D9" i="2"/>
  <c r="F9" i="2" l="1"/>
  <c r="H9" i="2" s="1"/>
  <c r="R8" i="2"/>
  <c r="R21" i="2" s="1"/>
  <c r="E8" i="2"/>
  <c r="E21" i="2" s="1"/>
  <c r="D8" i="2"/>
  <c r="D21" i="2" s="1"/>
  <c r="L8" i="2"/>
  <c r="L21" i="2" s="1"/>
  <c r="R22" i="2" l="1"/>
  <c r="O9" i="2"/>
  <c r="G9" i="2"/>
  <c r="F8" i="2"/>
  <c r="F21" i="2" l="1"/>
  <c r="H8" i="2"/>
  <c r="H21" i="2" s="1"/>
  <c r="P9" i="2"/>
  <c r="Q9" i="2" s="1"/>
  <c r="G8" i="2"/>
  <c r="G21" i="2" s="1"/>
  <c r="O8" i="2"/>
  <c r="O21" i="2" s="1"/>
  <c r="P8" i="2" l="1"/>
  <c r="P21" i="2" s="1"/>
  <c r="Q21" i="2" s="1"/>
  <c r="Q22" i="2" l="1"/>
  <c r="Q8" i="2"/>
</calcChain>
</file>

<file path=xl/comments1.xml><?xml version="1.0" encoding="utf-8"?>
<comments xmlns="http://schemas.openxmlformats.org/spreadsheetml/2006/main">
  <authors>
    <author>Автор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3500р-страхование лифтов
3600р-ревизия и прочистка бойлера, заваривание трубы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1296р-4 ч работы+карбид+868р-материалы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3427р-ремонт двигателя на г/в
1500р-доводчик+работа
1500р-сетка+работа
28000р-насос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7862,30р -юр.услуги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1150р-замок+работа,стекла на лифты, самоклейка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28000р-насос,установка
1343р-испытание лифтов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3000р-2 доводчика+работа
1000р-доска объявлений</t>
        </r>
      </text>
    </comment>
    <comment ref="M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4400р-оценка 2-х лифтов</t>
        </r>
      </text>
    </comment>
  </commentList>
</comments>
</file>

<file path=xl/sharedStrings.xml><?xml version="1.0" encoding="utf-8"?>
<sst xmlns="http://schemas.openxmlformats.org/spreadsheetml/2006/main" count="213" uniqueCount="119">
  <si>
    <t>декабрь</t>
  </si>
  <si>
    <t>Площадь</t>
  </si>
  <si>
    <t xml:space="preserve">Кол-во </t>
  </si>
  <si>
    <t xml:space="preserve">Поступило </t>
  </si>
  <si>
    <t xml:space="preserve">Оплата </t>
  </si>
  <si>
    <t>Налог</t>
  </si>
  <si>
    <t>Уборка</t>
  </si>
  <si>
    <t>Ремонт</t>
  </si>
  <si>
    <t>Содержание</t>
  </si>
  <si>
    <t>Расходы</t>
  </si>
  <si>
    <t xml:space="preserve">Остаток на </t>
  </si>
  <si>
    <t>Кап.</t>
  </si>
  <si>
    <t>кв</t>
  </si>
  <si>
    <t>содер</t>
  </si>
  <si>
    <t>рем</t>
  </si>
  <si>
    <t>итого</t>
  </si>
  <si>
    <t>ЕРКЦ</t>
  </si>
  <si>
    <t>тер.</t>
  </si>
  <si>
    <t xml:space="preserve">сметы </t>
  </si>
  <si>
    <t>договор ав.</t>
  </si>
  <si>
    <t>Разное</t>
  </si>
  <si>
    <t>теплос</t>
  </si>
  <si>
    <t>эксплуатац</t>
  </si>
  <si>
    <t>конец</t>
  </si>
  <si>
    <t>ремонт</t>
  </si>
  <si>
    <t>Лифты</t>
  </si>
  <si>
    <t>Ген. директор ООО "Георгиевск - ЖЭУ"                                            Никишина И.М.</t>
  </si>
  <si>
    <t>Месяц</t>
  </si>
  <si>
    <t>ед. изм.</t>
  </si>
  <si>
    <t>кол-во</t>
  </si>
  <si>
    <t>100м тр-да</t>
  </si>
  <si>
    <t>ИТОГО</t>
  </si>
  <si>
    <t>тыс.руб.</t>
  </si>
  <si>
    <t>Очистка канализационной сети: внутренней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</si>
  <si>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</si>
  <si>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высокой плотности диаметром: 110мм</t>
  </si>
  <si>
    <t>январь</t>
  </si>
  <si>
    <t>Учет доходов и расходов по Калинина 11 на 2014 год</t>
  </si>
  <si>
    <t>Место провед-я работ</t>
  </si>
  <si>
    <t>Перечень выполненных работ по сметам за 2014 год по дому Калинина 11</t>
  </si>
  <si>
    <t>Смена магнитных пускателей</t>
  </si>
  <si>
    <t>100шт</t>
  </si>
  <si>
    <t>насос</t>
  </si>
  <si>
    <t>февраль</t>
  </si>
  <si>
    <t>узел х/в</t>
  </si>
  <si>
    <t>Провод двух- и трехжильный с разделительным основанием по стенам и полкам, прокладываемый по основаниям: кирпичным</t>
  </si>
  <si>
    <t>100м</t>
  </si>
  <si>
    <t>Смена: розеток</t>
  </si>
  <si>
    <t>март</t>
  </si>
  <si>
    <t>Стогнутова Л.Н.</t>
  </si>
  <si>
    <t>2 выезда</t>
  </si>
  <si>
    <t>апрель</t>
  </si>
  <si>
    <t>парикмахерская</t>
  </si>
  <si>
    <t>Смена: унитазов типа "Компакт"</t>
  </si>
  <si>
    <t>100пр-в</t>
  </si>
  <si>
    <t>Унитаз-компакт "Комфорт"</t>
  </si>
  <si>
    <t>компл.</t>
  </si>
  <si>
    <t>Смена патронов</t>
  </si>
  <si>
    <t>май</t>
  </si>
  <si>
    <t>Ремонт отдельными местами рулонного покрытия с промазкой: битумными составами с заменой 1 слоя</t>
  </si>
  <si>
    <t>100м2</t>
  </si>
  <si>
    <t>июнь</t>
  </si>
  <si>
    <t>Смена светильников: с лампами накаливания</t>
  </si>
  <si>
    <t>Установка блоков в наружных и внутренних дверных проемах: в каменных стенах, площадь проема до 3м2</t>
  </si>
  <si>
    <t>июль</t>
  </si>
  <si>
    <t>теплоузел</t>
  </si>
  <si>
    <t>Прокладка трубопроводов отопления и газоснабжения из стальных бесшовных труб диаметром: 80мм</t>
  </si>
  <si>
    <t>Разборка трубопроводов из водогазопроводных труб диаметром: до 63мм</t>
  </si>
  <si>
    <t>Смена сгонов у трубопроводов диаметром: до 20мм</t>
  </si>
  <si>
    <t>100 сгонов</t>
  </si>
  <si>
    <t>Смена сгонов у трубопроводов диаметром: до 32мм</t>
  </si>
  <si>
    <t>август</t>
  </si>
  <si>
    <t>кв.34 х/в</t>
  </si>
  <si>
    <t>Сварка трубопроводов из стальных водогазопроводных неоцинкованных труб диаметром: 15мм</t>
  </si>
  <si>
    <t>100стыков</t>
  </si>
  <si>
    <t>сентябрь</t>
  </si>
  <si>
    <t>3500р</t>
  </si>
  <si>
    <t>страхование лифтов</t>
  </si>
  <si>
    <t>3600р</t>
  </si>
  <si>
    <t>ревизия и прочистка бойлера, заваривание трубы</t>
  </si>
  <si>
    <t>1296р</t>
  </si>
  <si>
    <t>4ч работы+карбид+868р-материалы</t>
  </si>
  <si>
    <t>3427р</t>
  </si>
  <si>
    <t>ремонт двигателя на г/в</t>
  </si>
  <si>
    <t>1500р</t>
  </si>
  <si>
    <t>доводчик+работа</t>
  </si>
  <si>
    <t>сетка+работа</t>
  </si>
  <si>
    <t>28000р</t>
  </si>
  <si>
    <t>юр.услуги</t>
  </si>
  <si>
    <t>1150р</t>
  </si>
  <si>
    <t>замок+работа, стекла на лифты,самоклейка</t>
  </si>
  <si>
    <t>насос,установка</t>
  </si>
  <si>
    <t>1343р</t>
  </si>
  <si>
    <t>испытание лифтов</t>
  </si>
  <si>
    <t>октябрь</t>
  </si>
  <si>
    <t>Выкашивание газонов: газонокосилкой</t>
  </si>
  <si>
    <t>3 покоса</t>
  </si>
  <si>
    <t>Гидравлическое испытание трубопроводов систем отопления, водопровода и горячего водоснабжения диаметром: до 100мм</t>
  </si>
  <si>
    <t>Установка вентилей, задвижек, затворов, клапанов обратных, кранов проходных на трубопроводах из стальных труб  диаметром: до 100мм</t>
  </si>
  <si>
    <t>1шт</t>
  </si>
  <si>
    <t>кв.53</t>
  </si>
  <si>
    <t>ноябрь</t>
  </si>
  <si>
    <t>ИТОГО:</t>
  </si>
  <si>
    <t>Смена обделок из листовой стали (парапеты)</t>
  </si>
  <si>
    <t>2 доводчика+работа</t>
  </si>
  <si>
    <t>Патроны потолочные</t>
  </si>
  <si>
    <t>шт</t>
  </si>
  <si>
    <t>г.в.</t>
  </si>
  <si>
    <t>Установка вентилей, задвижек, затворов, клапанов обратных, кранов проходных на трубопроводах из стальных труб  диаметром: до 25мм</t>
  </si>
  <si>
    <t>Установка вентилей, задвижек, затворов, клапанов обратных, кранов проходных на трубопроводах из стальных труб  диаметром: до 50мм</t>
  </si>
  <si>
    <t>Прокладка трубопроводов отопления  из стальных водогазопроводных неоцинкованных труб диаметром: 50мм</t>
  </si>
  <si>
    <t>3000р</t>
  </si>
  <si>
    <t>1000р</t>
  </si>
  <si>
    <t>доска объявлений</t>
  </si>
  <si>
    <t>4400р</t>
  </si>
  <si>
    <t>оценка 2-х лифтов</t>
  </si>
  <si>
    <t>ИТОГО за 2014г:</t>
  </si>
  <si>
    <t>Прокладка трубопроводов</t>
  </si>
  <si>
    <t>Теплоузел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</si>
</sst>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#,##0.000_р_."/>
  </numFmts>
  <fonts count="11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0A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D77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8B8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3" borderId="0" xfId="0" applyFont="1" applyFill="1" applyAlignment="1"/>
    <xf numFmtId="0" fontId="3" fillId="0" borderId="4" xfId="0" applyFont="1" applyBorder="1"/>
    <xf numFmtId="0" fontId="3" fillId="0" borderId="5" xfId="0" applyFont="1" applyBorder="1"/>
    <xf numFmtId="2" fontId="3" fillId="0" borderId="5" xfId="0" applyNumberFormat="1" applyFont="1" applyBorder="1"/>
    <xf numFmtId="2" fontId="4" fillId="0" borderId="5" xfId="0" applyNumberFormat="1" applyFont="1" applyFill="1" applyBorder="1"/>
    <xf numFmtId="2" fontId="3" fillId="0" borderId="1" xfId="0" applyNumberFormat="1" applyFont="1" applyBorder="1" applyAlignment="1"/>
    <xf numFmtId="0" fontId="3" fillId="0" borderId="6" xfId="0" applyFont="1" applyBorder="1"/>
    <xf numFmtId="2" fontId="3" fillId="0" borderId="6" xfId="0" applyNumberFormat="1" applyFont="1" applyBorder="1"/>
    <xf numFmtId="2" fontId="4" fillId="0" borderId="6" xfId="0" applyNumberFormat="1" applyFont="1" applyBorder="1"/>
    <xf numFmtId="2" fontId="3" fillId="0" borderId="5" xfId="0" applyNumberFormat="1" applyFont="1" applyFill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2" fontId="3" fillId="0" borderId="4" xfId="0" applyNumberFormat="1" applyFont="1" applyBorder="1"/>
    <xf numFmtId="164" fontId="3" fillId="3" borderId="4" xfId="0" applyNumberFormat="1" applyFont="1" applyFill="1" applyBorder="1" applyAlignment="1"/>
    <xf numFmtId="164" fontId="3" fillId="3" borderId="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3" fillId="2" borderId="4" xfId="0" applyNumberFormat="1" applyFont="1" applyFill="1" applyBorder="1"/>
    <xf numFmtId="164" fontId="3" fillId="2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4" borderId="10" xfId="0" applyFont="1" applyFill="1" applyBorder="1"/>
    <xf numFmtId="164" fontId="2" fillId="0" borderId="0" xfId="0" applyNumberFormat="1" applyFont="1" applyFill="1" applyBorder="1"/>
    <xf numFmtId="0" fontId="0" fillId="0" borderId="0" xfId="0" applyAlignment="1"/>
    <xf numFmtId="0" fontId="0" fillId="0" borderId="4" xfId="0" applyBorder="1"/>
    <xf numFmtId="0" fontId="6" fillId="6" borderId="4" xfId="0" applyNumberFormat="1" applyFont="1" applyFill="1" applyBorder="1" applyAlignment="1">
      <alignment horizontal="left"/>
    </xf>
    <xf numFmtId="2" fontId="6" fillId="6" borderId="1" xfId="0" applyNumberFormat="1" applyFont="1" applyFill="1" applyBorder="1" applyAlignment="1"/>
    <xf numFmtId="2" fontId="6" fillId="6" borderId="2" xfId="0" applyNumberFormat="1" applyFont="1" applyFill="1" applyBorder="1" applyAlignment="1"/>
    <xf numFmtId="0" fontId="2" fillId="3" borderId="0" xfId="0" applyFont="1" applyFill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7" borderId="0" xfId="0" applyFill="1"/>
    <xf numFmtId="164" fontId="0" fillId="0" borderId="4" xfId="0" applyNumberFormat="1" applyBorder="1" applyAlignment="1">
      <alignment horizontal="right"/>
    </xf>
    <xf numFmtId="0" fontId="6" fillId="5" borderId="2" xfId="0" applyFont="1" applyFill="1" applyBorder="1"/>
    <xf numFmtId="0" fontId="6" fillId="5" borderId="3" xfId="0" applyFont="1" applyFill="1" applyBorder="1"/>
    <xf numFmtId="0" fontId="3" fillId="4" borderId="11" xfId="0" applyFont="1" applyFill="1" applyBorder="1"/>
    <xf numFmtId="0" fontId="3" fillId="8" borderId="4" xfId="0" applyFont="1" applyFill="1" applyBorder="1"/>
    <xf numFmtId="2" fontId="3" fillId="8" borderId="4" xfId="0" applyNumberFormat="1" applyFont="1" applyFill="1" applyBorder="1"/>
    <xf numFmtId="0" fontId="6" fillId="9" borderId="4" xfId="0" applyNumberFormat="1" applyFont="1" applyFill="1" applyBorder="1" applyAlignment="1">
      <alignment horizontal="left"/>
    </xf>
    <xf numFmtId="2" fontId="6" fillId="9" borderId="1" xfId="0" applyNumberFormat="1" applyFont="1" applyFill="1" applyBorder="1" applyAlignment="1"/>
    <xf numFmtId="2" fontId="6" fillId="9" borderId="2" xfId="0" applyNumberFormat="1" applyFont="1" applyFill="1" applyBorder="1" applyAlignment="1"/>
    <xf numFmtId="0" fontId="6" fillId="9" borderId="2" xfId="0" applyFont="1" applyFill="1" applyBorder="1"/>
    <xf numFmtId="0" fontId="6" fillId="9" borderId="3" xfId="0" applyFont="1" applyFill="1" applyBorder="1"/>
    <xf numFmtId="0" fontId="6" fillId="10" borderId="4" xfId="0" applyNumberFormat="1" applyFont="1" applyFill="1" applyBorder="1" applyAlignment="1">
      <alignment horizontal="left"/>
    </xf>
    <xf numFmtId="2" fontId="6" fillId="10" borderId="1" xfId="0" applyNumberFormat="1" applyFont="1" applyFill="1" applyBorder="1" applyAlignment="1"/>
    <xf numFmtId="2" fontId="6" fillId="10" borderId="2" xfId="0" applyNumberFormat="1" applyFont="1" applyFill="1" applyBorder="1" applyAlignment="1"/>
    <xf numFmtId="0" fontId="6" fillId="10" borderId="2" xfId="0" applyFont="1" applyFill="1" applyBorder="1"/>
    <xf numFmtId="0" fontId="6" fillId="10" borderId="3" xfId="0" applyFont="1" applyFill="1" applyBorder="1"/>
    <xf numFmtId="165" fontId="6" fillId="10" borderId="3" xfId="0" applyNumberFormat="1" applyFont="1" applyFill="1" applyBorder="1"/>
    <xf numFmtId="165" fontId="0" fillId="0" borderId="0" xfId="0" applyNumberFormat="1"/>
    <xf numFmtId="0" fontId="6" fillId="11" borderId="4" xfId="0" applyNumberFormat="1" applyFont="1" applyFill="1" applyBorder="1" applyAlignment="1">
      <alignment horizontal="left"/>
    </xf>
    <xf numFmtId="2" fontId="6" fillId="11" borderId="1" xfId="0" applyNumberFormat="1" applyFont="1" applyFill="1" applyBorder="1" applyAlignment="1"/>
    <xf numFmtId="2" fontId="6" fillId="11" borderId="2" xfId="0" applyNumberFormat="1" applyFont="1" applyFill="1" applyBorder="1" applyAlignment="1"/>
    <xf numFmtId="0" fontId="6" fillId="11" borderId="2" xfId="0" applyFont="1" applyFill="1" applyBorder="1"/>
    <xf numFmtId="165" fontId="6" fillId="11" borderId="3" xfId="0" applyNumberFormat="1" applyFont="1" applyFill="1" applyBorder="1"/>
    <xf numFmtId="0" fontId="6" fillId="4" borderId="4" xfId="0" applyNumberFormat="1" applyFont="1" applyFill="1" applyBorder="1" applyAlignment="1">
      <alignment horizontal="left"/>
    </xf>
    <xf numFmtId="2" fontId="6" fillId="4" borderId="1" xfId="0" applyNumberFormat="1" applyFont="1" applyFill="1" applyBorder="1" applyAlignment="1"/>
    <xf numFmtId="2" fontId="6" fillId="4" borderId="2" xfId="0" applyNumberFormat="1" applyFont="1" applyFill="1" applyBorder="1" applyAlignment="1"/>
    <xf numFmtId="0" fontId="6" fillId="4" borderId="2" xfId="0" applyFont="1" applyFill="1" applyBorder="1"/>
    <xf numFmtId="165" fontId="6" fillId="4" borderId="3" xfId="0" applyNumberFormat="1" applyFont="1" applyFill="1" applyBorder="1"/>
    <xf numFmtId="0" fontId="6" fillId="12" borderId="4" xfId="0" applyNumberFormat="1" applyFont="1" applyFill="1" applyBorder="1" applyAlignment="1">
      <alignment horizontal="left"/>
    </xf>
    <xf numFmtId="2" fontId="6" fillId="12" borderId="1" xfId="0" applyNumberFormat="1" applyFont="1" applyFill="1" applyBorder="1" applyAlignment="1"/>
    <xf numFmtId="2" fontId="6" fillId="12" borderId="2" xfId="0" applyNumberFormat="1" applyFont="1" applyFill="1" applyBorder="1" applyAlignment="1"/>
    <xf numFmtId="0" fontId="6" fillId="12" borderId="2" xfId="0" applyFont="1" applyFill="1" applyBorder="1"/>
    <xf numFmtId="165" fontId="6" fillId="12" borderId="3" xfId="0" applyNumberFormat="1" applyFont="1" applyFill="1" applyBorder="1"/>
    <xf numFmtId="166" fontId="0" fillId="0" borderId="4" xfId="0" applyNumberFormat="1" applyBorder="1" applyAlignment="1">
      <alignment horizontal="right"/>
    </xf>
    <xf numFmtId="4" fontId="0" fillId="0" borderId="0" xfId="0" applyNumberFormat="1" applyFill="1"/>
    <xf numFmtId="4" fontId="3" fillId="0" borderId="0" xfId="0" applyNumberFormat="1" applyFont="1" applyFill="1" applyBorder="1"/>
    <xf numFmtId="0" fontId="6" fillId="13" borderId="4" xfId="0" applyNumberFormat="1" applyFont="1" applyFill="1" applyBorder="1" applyAlignment="1">
      <alignment horizontal="left"/>
    </xf>
    <xf numFmtId="2" fontId="6" fillId="13" borderId="1" xfId="0" applyNumberFormat="1" applyFont="1" applyFill="1" applyBorder="1" applyAlignment="1"/>
    <xf numFmtId="2" fontId="6" fillId="13" borderId="2" xfId="0" applyNumberFormat="1" applyFont="1" applyFill="1" applyBorder="1" applyAlignment="1"/>
    <xf numFmtId="0" fontId="6" fillId="13" borderId="2" xfId="0" applyFont="1" applyFill="1" applyBorder="1"/>
    <xf numFmtId="165" fontId="6" fillId="13" borderId="3" xfId="0" applyNumberFormat="1" applyFont="1" applyFill="1" applyBorder="1"/>
    <xf numFmtId="0" fontId="6" fillId="14" borderId="4" xfId="0" applyNumberFormat="1" applyFont="1" applyFill="1" applyBorder="1" applyAlignment="1">
      <alignment horizontal="left"/>
    </xf>
    <xf numFmtId="2" fontId="6" fillId="14" borderId="1" xfId="0" applyNumberFormat="1" applyFont="1" applyFill="1" applyBorder="1" applyAlignment="1"/>
    <xf numFmtId="2" fontId="6" fillId="14" borderId="2" xfId="0" applyNumberFormat="1" applyFont="1" applyFill="1" applyBorder="1" applyAlignment="1"/>
    <xf numFmtId="0" fontId="6" fillId="14" borderId="2" xfId="0" applyFont="1" applyFill="1" applyBorder="1"/>
    <xf numFmtId="165" fontId="6" fillId="14" borderId="3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64" fontId="7" fillId="4" borderId="4" xfId="0" applyNumberFormat="1" applyFont="1" applyFill="1" applyBorder="1" applyAlignment="1"/>
    <xf numFmtId="164" fontId="7" fillId="4" borderId="4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right"/>
    </xf>
    <xf numFmtId="164" fontId="7" fillId="4" borderId="4" xfId="0" applyNumberFormat="1" applyFont="1" applyFill="1" applyBorder="1"/>
    <xf numFmtId="164" fontId="7" fillId="0" borderId="4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6" fillId="15" borderId="4" xfId="0" applyNumberFormat="1" applyFont="1" applyFill="1" applyBorder="1" applyAlignment="1">
      <alignment horizontal="left"/>
    </xf>
    <xf numFmtId="2" fontId="6" fillId="15" borderId="1" xfId="0" applyNumberFormat="1" applyFont="1" applyFill="1" applyBorder="1" applyAlignment="1"/>
    <xf numFmtId="2" fontId="6" fillId="15" borderId="2" xfId="0" applyNumberFormat="1" applyFont="1" applyFill="1" applyBorder="1" applyAlignment="1"/>
    <xf numFmtId="0" fontId="6" fillId="15" borderId="2" xfId="0" applyFont="1" applyFill="1" applyBorder="1"/>
    <xf numFmtId="165" fontId="6" fillId="15" borderId="3" xfId="0" applyNumberFormat="1" applyFont="1" applyFill="1" applyBorder="1"/>
    <xf numFmtId="0" fontId="8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6" fillId="16" borderId="4" xfId="0" applyNumberFormat="1" applyFont="1" applyFill="1" applyBorder="1" applyAlignment="1">
      <alignment horizontal="left"/>
    </xf>
    <xf numFmtId="2" fontId="6" fillId="16" borderId="1" xfId="0" applyNumberFormat="1" applyFont="1" applyFill="1" applyBorder="1" applyAlignment="1"/>
    <xf numFmtId="2" fontId="6" fillId="16" borderId="2" xfId="0" applyNumberFormat="1" applyFont="1" applyFill="1" applyBorder="1" applyAlignment="1"/>
    <xf numFmtId="0" fontId="6" fillId="16" borderId="2" xfId="0" applyFont="1" applyFill="1" applyBorder="1"/>
    <xf numFmtId="165" fontId="6" fillId="16" borderId="3" xfId="0" applyNumberFormat="1" applyFont="1" applyFill="1" applyBorder="1"/>
    <xf numFmtId="2" fontId="6" fillId="0" borderId="4" xfId="0" applyNumberFormat="1" applyFont="1" applyBorder="1" applyAlignment="1">
      <alignment horizontal="center"/>
    </xf>
    <xf numFmtId="0" fontId="9" fillId="0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6" fillId="17" borderId="4" xfId="0" applyNumberFormat="1" applyFont="1" applyFill="1" applyBorder="1" applyAlignment="1">
      <alignment horizontal="left"/>
    </xf>
    <xf numFmtId="2" fontId="6" fillId="17" borderId="1" xfId="0" applyNumberFormat="1" applyFont="1" applyFill="1" applyBorder="1" applyAlignment="1"/>
    <xf numFmtId="2" fontId="6" fillId="17" borderId="2" xfId="0" applyNumberFormat="1" applyFont="1" applyFill="1" applyBorder="1" applyAlignment="1"/>
    <xf numFmtId="0" fontId="6" fillId="17" borderId="2" xfId="0" applyFont="1" applyFill="1" applyBorder="1"/>
    <xf numFmtId="165" fontId="6" fillId="17" borderId="3" xfId="0" applyNumberFormat="1" applyFont="1" applyFill="1" applyBorder="1"/>
    <xf numFmtId="2" fontId="6" fillId="0" borderId="4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164" fontId="10" fillId="0" borderId="0" xfId="0" applyNumberFormat="1" applyFont="1" applyFill="1" applyBorder="1"/>
    <xf numFmtId="4" fontId="0" fillId="0" borderId="0" xfId="0" applyNumberFormat="1"/>
    <xf numFmtId="0" fontId="3" fillId="4" borderId="4" xfId="0" applyFont="1" applyFill="1" applyBorder="1"/>
    <xf numFmtId="4" fontId="2" fillId="0" borderId="0" xfId="0" applyNumberFormat="1" applyFont="1" applyFill="1" applyBorder="1"/>
    <xf numFmtId="0" fontId="9" fillId="0" borderId="4" xfId="0" applyFont="1" applyFill="1" applyBorder="1"/>
    <xf numFmtId="164" fontId="8" fillId="5" borderId="0" xfId="0" applyNumberFormat="1" applyFont="1" applyFill="1"/>
    <xf numFmtId="0" fontId="2" fillId="3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left" wrapText="1"/>
    </xf>
    <xf numFmtId="2" fontId="0" fillId="0" borderId="2" xfId="0" applyNumberFormat="1" applyBorder="1" applyAlignment="1">
      <alignment horizontal="left" wrapText="1"/>
    </xf>
    <xf numFmtId="2" fontId="0" fillId="0" borderId="3" xfId="0" applyNumberFormat="1" applyBorder="1" applyAlignment="1">
      <alignment horizontal="left" wrapText="1"/>
    </xf>
    <xf numFmtId="2" fontId="6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  <xf numFmtId="2" fontId="6" fillId="12" borderId="2" xfId="0" applyNumberFormat="1" applyFont="1" applyFill="1" applyBorder="1" applyAlignment="1">
      <alignment horizontal="center"/>
    </xf>
    <xf numFmtId="2" fontId="6" fillId="7" borderId="0" xfId="0" applyNumberFormat="1" applyFont="1" applyFill="1" applyAlignment="1">
      <alignment horizontal="center"/>
    </xf>
    <xf numFmtId="2" fontId="6" fillId="6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10" borderId="2" xfId="0" applyNumberFormat="1" applyFont="1" applyFill="1" applyBorder="1" applyAlignment="1">
      <alignment horizontal="center"/>
    </xf>
    <xf numFmtId="2" fontId="6" fillId="9" borderId="2" xfId="0" applyNumberFormat="1" applyFont="1" applyFill="1" applyBorder="1" applyAlignment="1">
      <alignment horizontal="center"/>
    </xf>
    <xf numFmtId="2" fontId="6" fillId="11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15" borderId="2" xfId="0" applyNumberFormat="1" applyFont="1" applyFill="1" applyBorder="1" applyAlignment="1">
      <alignment horizontal="center"/>
    </xf>
    <xf numFmtId="2" fontId="6" fillId="14" borderId="2" xfId="0" applyNumberFormat="1" applyFont="1" applyFill="1" applyBorder="1" applyAlignment="1">
      <alignment horizontal="center"/>
    </xf>
    <xf numFmtId="2" fontId="6" fillId="13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17" borderId="2" xfId="0" applyNumberFormat="1" applyFont="1" applyFill="1" applyBorder="1" applyAlignment="1">
      <alignment horizontal="center"/>
    </xf>
    <xf numFmtId="2" fontId="6" fillId="16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0A8E6"/>
      <color rgb="FFED77DF"/>
      <color rgb="FFC989DB"/>
      <color rgb="FFE224CB"/>
      <color rgb="FF936C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4:T101"/>
  <sheetViews>
    <sheetView tabSelected="1" zoomScaleNormal="100" workbookViewId="0">
      <selection activeCell="M13" sqref="M13"/>
    </sheetView>
  </sheetViews>
  <sheetFormatPr defaultRowHeight="15" x14ac:dyDescent="0.25"/>
  <cols>
    <col min="1" max="1" width="3.42578125" customWidth="1"/>
    <col min="2" max="2" width="4.5703125" customWidth="1"/>
    <col min="3" max="3" width="0.5703125" hidden="1" customWidth="1"/>
    <col min="4" max="4" width="10.28515625" customWidth="1"/>
    <col min="5" max="5" width="8.85546875" customWidth="1"/>
    <col min="6" max="6" width="9.85546875" customWidth="1"/>
    <col min="7" max="7" width="8.42578125" customWidth="1"/>
    <col min="8" max="8" width="9" customWidth="1"/>
    <col min="9" max="9" width="8" customWidth="1"/>
    <col min="10" max="10" width="10" customWidth="1"/>
    <col min="11" max="12" width="8.85546875" customWidth="1"/>
    <col min="13" max="13" width="9.140625" customWidth="1"/>
    <col min="14" max="14" width="9.5703125" customWidth="1"/>
    <col min="15" max="15" width="8.85546875" customWidth="1"/>
    <col min="16" max="16" width="10" customWidth="1"/>
    <col min="17" max="17" width="10.42578125" customWidth="1"/>
    <col min="18" max="18" width="9.28515625" customWidth="1"/>
  </cols>
  <sheetData>
    <row r="4" spans="1:18" x14ac:dyDescent="0.25">
      <c r="A4" s="127" t="s">
        <v>37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41"/>
      <c r="R4" s="1"/>
    </row>
    <row r="5" spans="1:18" x14ac:dyDescent="0.25">
      <c r="A5" s="2"/>
      <c r="B5" s="3" t="s">
        <v>1</v>
      </c>
      <c r="C5" s="4" t="s">
        <v>2</v>
      </c>
      <c r="D5" s="128" t="s">
        <v>3</v>
      </c>
      <c r="E5" s="129"/>
      <c r="F5" s="130"/>
      <c r="G5" s="4" t="s">
        <v>4</v>
      </c>
      <c r="H5" s="131" t="s">
        <v>5</v>
      </c>
      <c r="I5" s="4" t="s">
        <v>6</v>
      </c>
      <c r="J5" s="5" t="s">
        <v>25</v>
      </c>
      <c r="K5" s="6" t="s">
        <v>7</v>
      </c>
      <c r="L5" s="133" t="s">
        <v>8</v>
      </c>
      <c r="M5" s="133"/>
      <c r="N5" s="133"/>
      <c r="O5" s="133"/>
      <c r="P5" s="131" t="s">
        <v>9</v>
      </c>
      <c r="Q5" s="42" t="s">
        <v>10</v>
      </c>
      <c r="R5" s="3" t="s">
        <v>11</v>
      </c>
    </row>
    <row r="6" spans="1:18" ht="15.75" thickBot="1" x14ac:dyDescent="0.3">
      <c r="A6" s="2"/>
      <c r="B6" s="7"/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132"/>
      <c r="I6" s="8" t="s">
        <v>17</v>
      </c>
      <c r="J6" s="9"/>
      <c r="K6" s="10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132"/>
      <c r="Q6" s="43" t="s">
        <v>23</v>
      </c>
      <c r="R6" s="7" t="s">
        <v>24</v>
      </c>
    </row>
    <row r="7" spans="1:18" ht="15.75" thickBot="1" x14ac:dyDescent="0.3">
      <c r="A7" s="2"/>
      <c r="B7" s="7"/>
      <c r="C7" s="8"/>
      <c r="D7" s="8"/>
      <c r="E7" s="11"/>
      <c r="F7" s="12">
        <v>-37812.97</v>
      </c>
      <c r="G7" s="13"/>
      <c r="H7" s="43"/>
      <c r="I7" s="8"/>
      <c r="J7" s="9"/>
      <c r="K7" s="10"/>
      <c r="L7" s="8"/>
      <c r="M7" s="8"/>
      <c r="N7" s="8"/>
      <c r="O7" s="8"/>
      <c r="P7" s="43"/>
      <c r="Q7" s="14"/>
      <c r="R7" s="15">
        <v>2939.25</v>
      </c>
    </row>
    <row r="8" spans="1:18" x14ac:dyDescent="0.25">
      <c r="A8" s="2" t="s">
        <v>36</v>
      </c>
      <c r="B8" s="2">
        <v>3981.58</v>
      </c>
      <c r="C8" s="16"/>
      <c r="D8" s="17">
        <f>14373.34+4079.51+3630.74+3653.62</f>
        <v>25737.209999999995</v>
      </c>
      <c r="E8" s="18">
        <f>2415.56+624+555.5+559</f>
        <v>4154.0599999999995</v>
      </c>
      <c r="F8" s="19">
        <f t="shared" ref="F8:F19" si="0">SUM(D8:E8)</f>
        <v>29891.269999999997</v>
      </c>
      <c r="G8" s="20">
        <f t="shared" ref="G8:G19" si="1">F8*0.03</f>
        <v>896.73809999999992</v>
      </c>
      <c r="H8" s="20">
        <f t="shared" ref="H8:H20" si="2">SUM(F8*0.06)</f>
        <v>1793.4761999999998</v>
      </c>
      <c r="I8" s="21">
        <v>7176</v>
      </c>
      <c r="J8" s="22">
        <v>25790</v>
      </c>
      <c r="K8" s="23">
        <v>0</v>
      </c>
      <c r="L8" s="23">
        <f>B8*1.07</f>
        <v>4260.2906000000003</v>
      </c>
      <c r="M8" s="23">
        <v>6900</v>
      </c>
      <c r="N8" s="23">
        <v>1700</v>
      </c>
      <c r="O8" s="23">
        <f t="shared" ref="O8:O20" si="3">F8*0.15</f>
        <v>4483.6904999999997</v>
      </c>
      <c r="P8" s="24">
        <f t="shared" ref="P8:P20" si="4">G8+H8+I8+J8+K8+L8+M8+N8+O8</f>
        <v>53000.195399999997</v>
      </c>
      <c r="Q8" s="25">
        <f t="shared" ref="Q8:Q20" si="5">F8-P8</f>
        <v>-23108.9254</v>
      </c>
      <c r="R8" s="34">
        <f>892+249.6+222.2+224.59</f>
        <v>1588.3899999999999</v>
      </c>
    </row>
    <row r="9" spans="1:18" x14ac:dyDescent="0.25">
      <c r="A9" s="2" t="s">
        <v>43</v>
      </c>
      <c r="B9" s="2"/>
      <c r="C9" s="16"/>
      <c r="D9" s="17">
        <f>11248.45+6122.58+6071.94</f>
        <v>23442.969999999998</v>
      </c>
      <c r="E9" s="18">
        <f>1721.02+936.78+929</f>
        <v>3586.8</v>
      </c>
      <c r="F9" s="19">
        <f t="shared" si="0"/>
        <v>27029.769999999997</v>
      </c>
      <c r="G9" s="20">
        <f t="shared" si="1"/>
        <v>810.89309999999989</v>
      </c>
      <c r="H9" s="20">
        <f t="shared" si="2"/>
        <v>1621.7861999999998</v>
      </c>
      <c r="I9" s="21">
        <v>7176</v>
      </c>
      <c r="J9" s="22">
        <v>25790</v>
      </c>
      <c r="K9" s="23">
        <v>241</v>
      </c>
      <c r="L9" s="23">
        <v>4260.29</v>
      </c>
      <c r="M9" s="23">
        <f>6900+3600+3500</f>
        <v>14000</v>
      </c>
      <c r="N9" s="23">
        <v>1700</v>
      </c>
      <c r="O9" s="23">
        <f t="shared" si="3"/>
        <v>4054.4654999999993</v>
      </c>
      <c r="P9" s="24">
        <f t="shared" si="4"/>
        <v>59654.434800000003</v>
      </c>
      <c r="Q9" s="25">
        <f t="shared" si="5"/>
        <v>-32624.664800000006</v>
      </c>
      <c r="R9" s="48">
        <f>688.4+374.7+371.84</f>
        <v>1434.9399999999998</v>
      </c>
    </row>
    <row r="10" spans="1:18" x14ac:dyDescent="0.25">
      <c r="A10" s="2" t="s">
        <v>48</v>
      </c>
      <c r="B10" s="2"/>
      <c r="C10" s="16"/>
      <c r="D10" s="17">
        <f>5202.66+14509.33+12875.94+22881.16</f>
        <v>55469.09</v>
      </c>
      <c r="E10" s="18">
        <f>796+2220.04+2120.04+3650.26</f>
        <v>8786.34</v>
      </c>
      <c r="F10" s="19">
        <f t="shared" si="0"/>
        <v>64255.429999999993</v>
      </c>
      <c r="G10" s="20">
        <f t="shared" si="1"/>
        <v>1927.6628999999998</v>
      </c>
      <c r="H10" s="20">
        <f t="shared" si="2"/>
        <v>3855.3257999999996</v>
      </c>
      <c r="I10" s="21">
        <v>7176</v>
      </c>
      <c r="J10" s="22">
        <v>25790</v>
      </c>
      <c r="K10" s="23">
        <f>1540</f>
        <v>1540</v>
      </c>
      <c r="L10" s="23">
        <v>4260.29</v>
      </c>
      <c r="M10" s="23">
        <f>6900+2068</f>
        <v>8968</v>
      </c>
      <c r="N10" s="23">
        <v>1700</v>
      </c>
      <c r="O10" s="23">
        <f t="shared" si="3"/>
        <v>9638.3144999999986</v>
      </c>
      <c r="P10" s="24">
        <f t="shared" si="4"/>
        <v>64855.593200000003</v>
      </c>
      <c r="Q10" s="25">
        <f t="shared" si="5"/>
        <v>-600.16320000000997</v>
      </c>
      <c r="R10" s="48">
        <f>318.4+888+848+1386.13</f>
        <v>3440.53</v>
      </c>
    </row>
    <row r="11" spans="1:18" x14ac:dyDescent="0.25">
      <c r="A11" s="2" t="s">
        <v>51</v>
      </c>
      <c r="B11" s="2"/>
      <c r="C11" s="16"/>
      <c r="D11" s="17">
        <f>4834.97+9015.97+13395.54+28204.4</f>
        <v>55450.880000000005</v>
      </c>
      <c r="E11" s="18">
        <f>739.81+1379.52+2049.52+4315.31</f>
        <v>8484.16</v>
      </c>
      <c r="F11" s="19">
        <f t="shared" si="0"/>
        <v>63935.040000000008</v>
      </c>
      <c r="G11" s="20">
        <f t="shared" si="1"/>
        <v>1918.0512000000001</v>
      </c>
      <c r="H11" s="20">
        <f t="shared" si="2"/>
        <v>3836.1024000000002</v>
      </c>
      <c r="I11" s="21">
        <v>7176</v>
      </c>
      <c r="J11" s="22">
        <v>25790</v>
      </c>
      <c r="K11" s="23">
        <f>4659+125</f>
        <v>4784</v>
      </c>
      <c r="L11" s="23">
        <v>4260.29</v>
      </c>
      <c r="M11" s="23">
        <v>6900</v>
      </c>
      <c r="N11" s="23">
        <v>1700</v>
      </c>
      <c r="O11" s="23">
        <f t="shared" si="3"/>
        <v>9590.2560000000012</v>
      </c>
      <c r="P11" s="24">
        <f t="shared" si="4"/>
        <v>65954.699600000007</v>
      </c>
      <c r="Q11" s="25">
        <f t="shared" si="5"/>
        <v>-2019.659599999999</v>
      </c>
      <c r="R11" s="48">
        <f>295.9+551.8+818.85+1727.69</f>
        <v>3394.24</v>
      </c>
    </row>
    <row r="12" spans="1:18" x14ac:dyDescent="0.25">
      <c r="A12" s="2" t="s">
        <v>58</v>
      </c>
      <c r="B12" s="2"/>
      <c r="C12" s="16"/>
      <c r="D12" s="17">
        <f>12217.45+11329.9+11429.37+34026.32</f>
        <v>69003.040000000008</v>
      </c>
      <c r="E12" s="18">
        <f>1869.25+1743.03+1854.81+5008.08</f>
        <v>10475.17</v>
      </c>
      <c r="F12" s="19">
        <f t="shared" si="0"/>
        <v>79478.210000000006</v>
      </c>
      <c r="G12" s="20">
        <f t="shared" si="1"/>
        <v>2384.3463000000002</v>
      </c>
      <c r="H12" s="20">
        <f t="shared" si="2"/>
        <v>4768.6926000000003</v>
      </c>
      <c r="I12" s="21">
        <v>7176</v>
      </c>
      <c r="J12" s="22">
        <v>25790</v>
      </c>
      <c r="K12" s="23">
        <v>7646</v>
      </c>
      <c r="L12" s="23">
        <v>4260.29</v>
      </c>
      <c r="M12" s="23">
        <v>6900</v>
      </c>
      <c r="N12" s="23">
        <v>500</v>
      </c>
      <c r="O12" s="23">
        <f t="shared" si="3"/>
        <v>11921.7315</v>
      </c>
      <c r="P12" s="24">
        <f t="shared" si="4"/>
        <v>71347.060400000002</v>
      </c>
      <c r="Q12" s="25">
        <f t="shared" si="5"/>
        <v>8131.1496000000043</v>
      </c>
      <c r="R12" s="48">
        <f>747.55+703.2+741.9+1513.12</f>
        <v>3705.77</v>
      </c>
    </row>
    <row r="13" spans="1:18" x14ac:dyDescent="0.25">
      <c r="A13" s="2" t="s">
        <v>61</v>
      </c>
      <c r="B13" s="2"/>
      <c r="C13" s="16"/>
      <c r="D13" s="17">
        <f>14617.71+2344.21+12093.22+27637.67</f>
        <v>56692.81</v>
      </c>
      <c r="E13" s="18">
        <f>1471.54+358.52+1877.28+4636.42</f>
        <v>8343.76</v>
      </c>
      <c r="F13" s="19">
        <f t="shared" si="0"/>
        <v>65036.57</v>
      </c>
      <c r="G13" s="20">
        <f t="shared" si="1"/>
        <v>1951.0971</v>
      </c>
      <c r="H13" s="20">
        <f t="shared" si="2"/>
        <v>3902.1941999999999</v>
      </c>
      <c r="I13" s="21">
        <v>7176</v>
      </c>
      <c r="J13" s="22">
        <v>25790</v>
      </c>
      <c r="K13" s="23">
        <f>3121+4314</f>
        <v>7435</v>
      </c>
      <c r="L13" s="23">
        <v>4260.29</v>
      </c>
      <c r="M13" s="23">
        <f>6900+3427+1500+1500</f>
        <v>13327</v>
      </c>
      <c r="N13" s="23">
        <v>500</v>
      </c>
      <c r="O13" s="23">
        <f t="shared" si="3"/>
        <v>9755.4854999999989</v>
      </c>
      <c r="P13" s="24">
        <f t="shared" si="4"/>
        <v>74097.066800000001</v>
      </c>
      <c r="Q13" s="25">
        <f t="shared" si="5"/>
        <v>-9060.4968000000008</v>
      </c>
      <c r="R13" s="48">
        <f>588.28+143.4+744.9+2006.31</f>
        <v>3482.89</v>
      </c>
    </row>
    <row r="14" spans="1:18" x14ac:dyDescent="0.25">
      <c r="A14" s="2" t="s">
        <v>64</v>
      </c>
      <c r="B14" s="2"/>
      <c r="C14" s="16"/>
      <c r="D14" s="17">
        <f>15773.04+6017.19+9952.09+48532.99</f>
        <v>80275.31</v>
      </c>
      <c r="E14" s="18">
        <f>2300.27+915.52+1892.05+7043.56</f>
        <v>12151.400000000001</v>
      </c>
      <c r="F14" s="19">
        <f t="shared" si="0"/>
        <v>92426.709999999992</v>
      </c>
      <c r="G14" s="20">
        <f t="shared" si="1"/>
        <v>2772.8012999999996</v>
      </c>
      <c r="H14" s="20">
        <f t="shared" si="2"/>
        <v>5545.6025999999993</v>
      </c>
      <c r="I14" s="21">
        <v>7176</v>
      </c>
      <c r="J14" s="22">
        <v>25790</v>
      </c>
      <c r="K14" s="23">
        <v>0</v>
      </c>
      <c r="L14" s="23">
        <v>4260.29</v>
      </c>
      <c r="M14" s="23">
        <f>6900+7862.3</f>
        <v>14762.3</v>
      </c>
      <c r="N14" s="23">
        <v>500</v>
      </c>
      <c r="O14" s="23">
        <f t="shared" si="3"/>
        <v>13864.006499999998</v>
      </c>
      <c r="P14" s="24">
        <f t="shared" si="4"/>
        <v>74671.000400000004</v>
      </c>
      <c r="Q14" s="25">
        <f t="shared" si="5"/>
        <v>17755.709599999987</v>
      </c>
      <c r="R14" s="48">
        <f>920+366+796.8+2671.78</f>
        <v>4754.58</v>
      </c>
    </row>
    <row r="15" spans="1:18" x14ac:dyDescent="0.25">
      <c r="A15" s="2" t="s">
        <v>71</v>
      </c>
      <c r="B15" s="2"/>
      <c r="C15" s="16"/>
      <c r="D15" s="17">
        <f>19765.26+33519.23+16415.02</f>
        <v>69699.510000000009</v>
      </c>
      <c r="E15" s="18">
        <f>3020.76+5139.14+2393</f>
        <v>10552.900000000001</v>
      </c>
      <c r="F15" s="19">
        <f t="shared" si="0"/>
        <v>80252.41</v>
      </c>
      <c r="G15" s="20">
        <f t="shared" si="1"/>
        <v>2407.5722999999998</v>
      </c>
      <c r="H15" s="20">
        <f t="shared" si="2"/>
        <v>4815.1445999999996</v>
      </c>
      <c r="I15" s="21">
        <v>7176</v>
      </c>
      <c r="J15" s="22">
        <v>25790</v>
      </c>
      <c r="K15" s="23">
        <v>865</v>
      </c>
      <c r="L15" s="23">
        <v>4260.29</v>
      </c>
      <c r="M15" s="23">
        <f>6900+1150</f>
        <v>8050</v>
      </c>
      <c r="N15" s="23">
        <v>500</v>
      </c>
      <c r="O15" s="23">
        <f t="shared" si="3"/>
        <v>12037.861500000001</v>
      </c>
      <c r="P15" s="24">
        <f t="shared" si="4"/>
        <v>65901.868400000007</v>
      </c>
      <c r="Q15" s="25">
        <f t="shared" si="5"/>
        <v>14350.541599999997</v>
      </c>
      <c r="R15" s="48">
        <f>1282.5+2073.7+957.2</f>
        <v>4313.3999999999996</v>
      </c>
    </row>
    <row r="16" spans="1:18" x14ac:dyDescent="0.25">
      <c r="A16" s="2" t="s">
        <v>75</v>
      </c>
      <c r="B16" s="2"/>
      <c r="C16" s="16"/>
      <c r="D16" s="17">
        <f>18865.43+21777.3+23043.45</f>
        <v>63686.179999999993</v>
      </c>
      <c r="E16" s="18">
        <f>3219.29+3403.03+3460</f>
        <v>10082.32</v>
      </c>
      <c r="F16" s="19">
        <f t="shared" si="0"/>
        <v>73768.5</v>
      </c>
      <c r="G16" s="20">
        <f t="shared" si="1"/>
        <v>2213.0549999999998</v>
      </c>
      <c r="H16" s="20">
        <f t="shared" si="2"/>
        <v>4426.1099999999997</v>
      </c>
      <c r="I16" s="21">
        <v>7176</v>
      </c>
      <c r="J16" s="22">
        <v>25790</v>
      </c>
      <c r="K16" s="23">
        <f>1817+14677</f>
        <v>16494</v>
      </c>
      <c r="L16" s="23">
        <v>4260.29</v>
      </c>
      <c r="M16" s="23">
        <f>6900+28000+1343+14677</f>
        <v>50920</v>
      </c>
      <c r="N16" s="23">
        <v>500</v>
      </c>
      <c r="O16" s="23">
        <f t="shared" si="3"/>
        <v>11065.275</v>
      </c>
      <c r="P16" s="24">
        <f>G16+H16+I16+J16+K16+L16+M16+N16+O16</f>
        <v>122844.73</v>
      </c>
      <c r="Q16" s="25">
        <f t="shared" si="5"/>
        <v>-49076.229999999996</v>
      </c>
      <c r="R16" s="48">
        <f>1287.7+1169.37+1408</f>
        <v>3865.0699999999997</v>
      </c>
    </row>
    <row r="17" spans="1:19" x14ac:dyDescent="0.25">
      <c r="A17" s="2" t="s">
        <v>94</v>
      </c>
      <c r="B17" s="2"/>
      <c r="C17" s="16"/>
      <c r="D17" s="17">
        <f>24083.48+30544.58+4330.43</f>
        <v>58958.49</v>
      </c>
      <c r="E17" s="18">
        <f>3684.79+4606+532.5</f>
        <v>8823.2900000000009</v>
      </c>
      <c r="F17" s="19">
        <f t="shared" si="0"/>
        <v>67781.78</v>
      </c>
      <c r="G17" s="20">
        <f t="shared" si="1"/>
        <v>2033.4533999999999</v>
      </c>
      <c r="H17" s="20">
        <f t="shared" si="2"/>
        <v>4066.9067999999997</v>
      </c>
      <c r="I17" s="21">
        <v>7176</v>
      </c>
      <c r="J17" s="22">
        <v>25790</v>
      </c>
      <c r="K17" s="23">
        <f>5580+1952</f>
        <v>7532</v>
      </c>
      <c r="L17" s="23">
        <v>4260.29</v>
      </c>
      <c r="M17" s="23">
        <v>6900</v>
      </c>
      <c r="N17" s="23">
        <v>1700</v>
      </c>
      <c r="O17" s="23">
        <f t="shared" si="3"/>
        <v>10167.267</v>
      </c>
      <c r="P17" s="24">
        <f>G17+H17+I17+J17+K17+L17+M17+N17+O17</f>
        <v>69625.917199999996</v>
      </c>
      <c r="Q17" s="25">
        <f t="shared" si="5"/>
        <v>-1844.1371999999974</v>
      </c>
      <c r="R17" s="48">
        <f>1473.9+1711+213</f>
        <v>3397.9</v>
      </c>
    </row>
    <row r="18" spans="1:19" x14ac:dyDescent="0.25">
      <c r="A18" s="2" t="s">
        <v>101</v>
      </c>
      <c r="B18" s="2"/>
      <c r="C18" s="16"/>
      <c r="D18" s="17">
        <f>18102.36+28540.5+10683.08</f>
        <v>57325.94</v>
      </c>
      <c r="E18" s="18">
        <f>2833+4639+1400</f>
        <v>8872</v>
      </c>
      <c r="F18" s="19">
        <f t="shared" si="0"/>
        <v>66197.94</v>
      </c>
      <c r="G18" s="20">
        <f t="shared" si="1"/>
        <v>1985.9382000000001</v>
      </c>
      <c r="H18" s="20">
        <f t="shared" si="2"/>
        <v>3971.8764000000001</v>
      </c>
      <c r="I18" s="21">
        <v>7176</v>
      </c>
      <c r="J18" s="22">
        <v>25790</v>
      </c>
      <c r="K18" s="23">
        <v>4843</v>
      </c>
      <c r="L18" s="23">
        <v>4260.29</v>
      </c>
      <c r="M18" s="23">
        <f>6900+1000</f>
        <v>7900</v>
      </c>
      <c r="N18" s="23">
        <v>1700</v>
      </c>
      <c r="O18" s="23">
        <f t="shared" si="3"/>
        <v>9929.6910000000007</v>
      </c>
      <c r="P18" s="24">
        <f>G18+H18+I18+J18+K18+L18+M18+N18+O18</f>
        <v>67556.795599999998</v>
      </c>
      <c r="Q18" s="25">
        <f t="shared" si="5"/>
        <v>-1358.8555999999953</v>
      </c>
      <c r="R18" s="48">
        <f>1133.2+1707.92+410.2</f>
        <v>3251.3199999999997</v>
      </c>
    </row>
    <row r="19" spans="1:19" x14ac:dyDescent="0.25">
      <c r="A19" s="2" t="s">
        <v>0</v>
      </c>
      <c r="B19" s="2"/>
      <c r="C19" s="16"/>
      <c r="D19" s="17">
        <f>25794.6+30651.35+6026.55</f>
        <v>62472.5</v>
      </c>
      <c r="E19" s="18">
        <f>4066.75+4843.77+916</f>
        <v>9826.52</v>
      </c>
      <c r="F19" s="19">
        <f t="shared" si="0"/>
        <v>72299.02</v>
      </c>
      <c r="G19" s="20">
        <f t="shared" si="1"/>
        <v>2168.9706000000001</v>
      </c>
      <c r="H19" s="20">
        <f t="shared" si="2"/>
        <v>4337.9412000000002</v>
      </c>
      <c r="I19" s="21">
        <v>7176</v>
      </c>
      <c r="J19" s="22">
        <v>25790</v>
      </c>
      <c r="K19" s="23">
        <f>301+4184</f>
        <v>4485</v>
      </c>
      <c r="L19" s="23">
        <v>4260.29</v>
      </c>
      <c r="M19" s="23">
        <f>6900+4400</f>
        <v>11300</v>
      </c>
      <c r="N19" s="23">
        <v>1700</v>
      </c>
      <c r="O19" s="23">
        <f t="shared" si="3"/>
        <v>10844.853000000001</v>
      </c>
      <c r="P19" s="24">
        <f>G19+H19+I19+J19+K19+L19+M19+N19+O19</f>
        <v>72063.054799999998</v>
      </c>
      <c r="Q19" s="25">
        <f t="shared" si="5"/>
        <v>235.96520000000601</v>
      </c>
      <c r="R19" s="48">
        <f>1627.01+1512.77+398.44</f>
        <v>3538.22</v>
      </c>
    </row>
    <row r="20" spans="1:19" x14ac:dyDescent="0.25">
      <c r="A20" s="49" t="s">
        <v>49</v>
      </c>
      <c r="B20" s="49"/>
      <c r="C20" s="50"/>
      <c r="D20" s="17">
        <f>20000+30000+30000+40000</f>
        <v>120000</v>
      </c>
      <c r="E20" s="18">
        <v>0</v>
      </c>
      <c r="F20" s="19">
        <f>D20+E20</f>
        <v>120000</v>
      </c>
      <c r="G20" s="20">
        <v>0</v>
      </c>
      <c r="H20" s="20">
        <f t="shared" si="2"/>
        <v>7200</v>
      </c>
      <c r="I20" s="21">
        <v>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f t="shared" si="3"/>
        <v>18000</v>
      </c>
      <c r="P20" s="24">
        <f t="shared" si="4"/>
        <v>25200</v>
      </c>
      <c r="Q20" s="25">
        <f t="shared" si="5"/>
        <v>94800</v>
      </c>
      <c r="R20" s="48">
        <v>0</v>
      </c>
    </row>
    <row r="21" spans="1:19" x14ac:dyDescent="0.25">
      <c r="A21" s="2" t="s">
        <v>15</v>
      </c>
      <c r="B21" s="2"/>
      <c r="C21" s="16"/>
      <c r="D21" s="92">
        <f>SUM(D8:D20)</f>
        <v>798213.92999999993</v>
      </c>
      <c r="E21" s="93">
        <f>SUM(E8:E20)</f>
        <v>104138.72000000002</v>
      </c>
      <c r="F21" s="94">
        <f>SUM(F7:F20)</f>
        <v>864539.68000000017</v>
      </c>
      <c r="G21" s="92">
        <f t="shared" ref="G21:P21" si="6">SUM(G8:G20)</f>
        <v>23470.5795</v>
      </c>
      <c r="H21" s="92">
        <f t="shared" si="6"/>
        <v>54141.159</v>
      </c>
      <c r="I21" s="95">
        <f t="shared" si="6"/>
        <v>86112</v>
      </c>
      <c r="J21" s="96">
        <f t="shared" si="6"/>
        <v>309480</v>
      </c>
      <c r="K21" s="96">
        <f t="shared" si="6"/>
        <v>55865</v>
      </c>
      <c r="L21" s="96">
        <f t="shared" si="6"/>
        <v>51123.48060000001</v>
      </c>
      <c r="M21" s="96">
        <f t="shared" si="6"/>
        <v>156827.29999999999</v>
      </c>
      <c r="N21" s="96">
        <f t="shared" si="6"/>
        <v>14400</v>
      </c>
      <c r="O21" s="96">
        <f t="shared" si="6"/>
        <v>135352.89750000002</v>
      </c>
      <c r="P21" s="93">
        <f t="shared" si="6"/>
        <v>886772.41660000011</v>
      </c>
      <c r="Q21" s="97">
        <f>F21-P21</f>
        <v>-22232.736599999946</v>
      </c>
      <c r="R21" s="98">
        <f>SUM(R7:R20)</f>
        <v>43106.5</v>
      </c>
    </row>
    <row r="22" spans="1:19" x14ac:dyDescent="0.25">
      <c r="A22" s="27"/>
      <c r="B22" s="27"/>
      <c r="C22" s="28"/>
      <c r="D22" s="29"/>
      <c r="E22" s="26"/>
      <c r="F22" s="26"/>
      <c r="G22" s="29"/>
      <c r="H22" s="29"/>
      <c r="I22" s="30"/>
      <c r="J22" s="31"/>
      <c r="K22" s="32"/>
      <c r="L22" s="32"/>
      <c r="M22" s="32"/>
      <c r="N22" s="32"/>
      <c r="O22" s="32"/>
      <c r="P22" s="26"/>
      <c r="Q22" s="113">
        <f>Q21+R33</f>
        <v>-22232.736599999946</v>
      </c>
      <c r="R22" s="35">
        <f>R21*0.91</f>
        <v>39226.915000000001</v>
      </c>
    </row>
    <row r="23" spans="1:19" x14ac:dyDescent="0.25">
      <c r="A23" s="27"/>
      <c r="B23" s="27"/>
      <c r="C23" s="28"/>
      <c r="D23" s="29" t="s">
        <v>43</v>
      </c>
      <c r="E23" s="26" t="s">
        <v>76</v>
      </c>
      <c r="F23" s="91" t="s">
        <v>77</v>
      </c>
      <c r="G23" s="29"/>
      <c r="H23" s="29"/>
      <c r="I23" s="30"/>
      <c r="J23" s="31"/>
      <c r="K23" s="32"/>
      <c r="L23" s="32"/>
      <c r="M23" s="32"/>
      <c r="N23" s="32"/>
      <c r="P23" s="32" t="s">
        <v>61</v>
      </c>
      <c r="Q23" s="91" t="s">
        <v>42</v>
      </c>
      <c r="R23" s="48">
        <v>28000</v>
      </c>
    </row>
    <row r="24" spans="1:19" x14ac:dyDescent="0.25">
      <c r="A24" s="27"/>
      <c r="B24" s="27"/>
      <c r="C24" s="28"/>
      <c r="D24" s="29"/>
      <c r="E24" s="26" t="s">
        <v>78</v>
      </c>
      <c r="F24" s="91" t="s">
        <v>79</v>
      </c>
      <c r="G24" s="29"/>
      <c r="H24" s="29"/>
      <c r="I24" s="30"/>
      <c r="J24" s="31"/>
      <c r="K24" s="32"/>
      <c r="L24" s="32"/>
      <c r="M24" s="32"/>
      <c r="N24" s="32"/>
      <c r="O24" s="32" t="s">
        <v>36</v>
      </c>
      <c r="P24" s="91" t="s">
        <v>40</v>
      </c>
      <c r="Q24" s="26"/>
      <c r="R24" s="123">
        <v>2271</v>
      </c>
      <c r="S24" s="122"/>
    </row>
    <row r="25" spans="1:19" x14ac:dyDescent="0.25">
      <c r="A25" s="27"/>
      <c r="B25" s="27"/>
      <c r="C25" s="28"/>
      <c r="D25" s="29" t="s">
        <v>48</v>
      </c>
      <c r="E25" s="26" t="s">
        <v>80</v>
      </c>
      <c r="F25" s="91" t="s">
        <v>81</v>
      </c>
      <c r="G25" s="29"/>
      <c r="H25" s="29"/>
      <c r="I25" s="30"/>
      <c r="J25" s="31"/>
      <c r="K25" s="32"/>
      <c r="L25" s="32"/>
      <c r="M25" s="32"/>
      <c r="N25" s="32"/>
      <c r="O25" s="32" t="s">
        <v>48</v>
      </c>
      <c r="P25" s="91" t="s">
        <v>117</v>
      </c>
      <c r="Q25" s="26"/>
      <c r="R25" s="123">
        <v>5615</v>
      </c>
    </row>
    <row r="26" spans="1:19" x14ac:dyDescent="0.25">
      <c r="A26" s="27"/>
      <c r="B26" s="27"/>
      <c r="C26" s="28"/>
      <c r="D26" s="29" t="s">
        <v>61</v>
      </c>
      <c r="E26" s="26" t="s">
        <v>82</v>
      </c>
      <c r="F26" s="91" t="s">
        <v>83</v>
      </c>
      <c r="G26" s="29"/>
      <c r="H26" s="29"/>
      <c r="I26" s="30"/>
      <c r="J26" s="31"/>
      <c r="K26" s="32"/>
      <c r="L26" s="32"/>
      <c r="M26" s="32"/>
      <c r="N26" s="32"/>
      <c r="O26" s="32" t="s">
        <v>64</v>
      </c>
      <c r="P26" s="91" t="s">
        <v>118</v>
      </c>
      <c r="Q26" s="26"/>
      <c r="R26" s="123">
        <v>3256</v>
      </c>
    </row>
    <row r="27" spans="1:19" x14ac:dyDescent="0.25">
      <c r="A27" s="27"/>
      <c r="B27" s="27"/>
      <c r="C27" s="28"/>
      <c r="D27" s="29"/>
      <c r="E27" s="26" t="s">
        <v>84</v>
      </c>
      <c r="F27" s="91" t="s">
        <v>85</v>
      </c>
      <c r="G27" s="29"/>
      <c r="H27" s="29"/>
      <c r="I27" s="30"/>
      <c r="J27" s="31"/>
      <c r="K27" s="32"/>
      <c r="L27" s="32"/>
      <c r="M27" s="32"/>
      <c r="N27" s="32"/>
      <c r="O27" s="32"/>
      <c r="P27" s="91"/>
      <c r="Q27" s="26"/>
      <c r="R27" s="125">
        <f>SUM(R23:R26)</f>
        <v>39142</v>
      </c>
    </row>
    <row r="28" spans="1:19" x14ac:dyDescent="0.25">
      <c r="A28" s="27"/>
      <c r="B28" s="27"/>
      <c r="C28" s="28"/>
      <c r="D28" s="29"/>
      <c r="E28" s="26" t="s">
        <v>84</v>
      </c>
      <c r="F28" s="91" t="s">
        <v>86</v>
      </c>
      <c r="G28" s="29"/>
      <c r="H28" s="29"/>
      <c r="I28" s="30"/>
      <c r="J28" s="31"/>
      <c r="K28" s="32"/>
      <c r="L28" s="32"/>
      <c r="M28" s="32"/>
      <c r="N28" s="32"/>
      <c r="O28" s="32"/>
      <c r="P28" s="91"/>
      <c r="Q28" s="105" t="s">
        <v>102</v>
      </c>
      <c r="R28" s="126">
        <f>R22-R27</f>
        <v>84.915000000000873</v>
      </c>
    </row>
    <row r="29" spans="1:19" x14ac:dyDescent="0.25">
      <c r="A29" s="27"/>
      <c r="B29" s="27"/>
      <c r="C29" s="28"/>
      <c r="D29" s="29"/>
      <c r="E29" s="26" t="s">
        <v>87</v>
      </c>
      <c r="F29" s="91" t="s">
        <v>42</v>
      </c>
      <c r="G29" s="29"/>
      <c r="H29" s="29"/>
      <c r="I29" s="30"/>
      <c r="J29" s="31"/>
      <c r="K29" s="32"/>
      <c r="L29" s="32"/>
      <c r="M29" s="32"/>
      <c r="N29" s="32"/>
      <c r="O29" s="32"/>
      <c r="P29" s="91"/>
      <c r="Q29" s="26"/>
      <c r="R29" s="80"/>
    </row>
    <row r="30" spans="1:19" x14ac:dyDescent="0.25">
      <c r="A30" s="27"/>
      <c r="B30" s="27"/>
      <c r="C30" s="28"/>
      <c r="D30" s="29" t="s">
        <v>64</v>
      </c>
      <c r="E30" s="26">
        <v>7862.3</v>
      </c>
      <c r="F30" s="91" t="s">
        <v>88</v>
      </c>
      <c r="G30" s="29"/>
      <c r="H30" s="29"/>
      <c r="I30" s="30"/>
      <c r="J30" s="31"/>
      <c r="K30" s="32"/>
      <c r="L30" s="32"/>
      <c r="M30" s="32"/>
      <c r="N30" s="32"/>
      <c r="O30" s="32"/>
      <c r="P30" s="91"/>
      <c r="Q30" s="26"/>
      <c r="R30" s="27"/>
    </row>
    <row r="31" spans="1:19" x14ac:dyDescent="0.25">
      <c r="A31" s="27"/>
      <c r="B31" s="27"/>
      <c r="C31" s="28"/>
      <c r="D31" s="29" t="s">
        <v>71</v>
      </c>
      <c r="E31" s="26" t="s">
        <v>89</v>
      </c>
      <c r="F31" s="91" t="s">
        <v>90</v>
      </c>
      <c r="G31" s="29"/>
      <c r="H31" s="29"/>
      <c r="I31" s="30"/>
      <c r="J31" s="31"/>
      <c r="K31" s="32"/>
      <c r="L31" s="32"/>
      <c r="M31" s="32"/>
      <c r="N31" s="32"/>
      <c r="O31" s="32"/>
      <c r="P31" s="91"/>
      <c r="Q31" s="26"/>
      <c r="R31" s="27"/>
    </row>
    <row r="32" spans="1:19" x14ac:dyDescent="0.25">
      <c r="A32" s="27"/>
      <c r="B32" s="27"/>
      <c r="C32" s="28"/>
      <c r="D32" s="29" t="s">
        <v>75</v>
      </c>
      <c r="E32" s="26" t="s">
        <v>87</v>
      </c>
      <c r="F32" s="91" t="s">
        <v>91</v>
      </c>
      <c r="G32" s="29"/>
      <c r="H32" s="29"/>
      <c r="I32" s="30"/>
      <c r="J32" s="31"/>
      <c r="K32" s="32"/>
      <c r="L32" s="32"/>
      <c r="M32" s="32"/>
      <c r="N32" s="32"/>
      <c r="O32" s="32"/>
      <c r="P32" s="26"/>
      <c r="Q32" s="26"/>
      <c r="R32" s="112"/>
    </row>
    <row r="33" spans="1:19" x14ac:dyDescent="0.25">
      <c r="A33" s="27"/>
      <c r="B33" s="27"/>
      <c r="C33" s="28"/>
      <c r="E33" s="26" t="s">
        <v>92</v>
      </c>
      <c r="F33" s="91" t="s">
        <v>93</v>
      </c>
      <c r="G33" s="29"/>
      <c r="H33" s="29"/>
      <c r="I33" s="30"/>
      <c r="J33" s="31"/>
      <c r="K33" s="32"/>
      <c r="L33" s="32"/>
      <c r="M33" s="32"/>
      <c r="N33" s="32"/>
      <c r="O33" s="32"/>
      <c r="P33" s="26"/>
      <c r="Q33" s="105"/>
      <c r="R33" s="124"/>
    </row>
    <row r="34" spans="1:19" x14ac:dyDescent="0.25">
      <c r="A34" s="27"/>
      <c r="B34" s="27"/>
      <c r="C34" s="28"/>
      <c r="D34" s="29" t="s">
        <v>101</v>
      </c>
      <c r="E34" s="26" t="s">
        <v>111</v>
      </c>
      <c r="F34" s="91" t="s">
        <v>104</v>
      </c>
      <c r="G34" s="29"/>
      <c r="H34" s="29"/>
      <c r="I34" s="30"/>
      <c r="J34" s="31"/>
      <c r="K34" s="32"/>
      <c r="L34" s="32"/>
      <c r="M34" s="32"/>
      <c r="N34" s="32"/>
      <c r="O34" s="32"/>
      <c r="P34" s="26"/>
      <c r="Q34" s="26"/>
      <c r="R34" s="27"/>
    </row>
    <row r="35" spans="1:19" x14ac:dyDescent="0.25">
      <c r="A35" s="27"/>
      <c r="B35" s="27"/>
      <c r="C35" s="28"/>
      <c r="D35" s="29"/>
      <c r="E35" s="26" t="s">
        <v>112</v>
      </c>
      <c r="F35" s="91" t="s">
        <v>113</v>
      </c>
      <c r="G35" s="29"/>
      <c r="H35" s="29"/>
      <c r="I35" s="30"/>
      <c r="J35" s="31"/>
      <c r="K35" s="32"/>
      <c r="L35" s="120" t="s">
        <v>116</v>
      </c>
      <c r="M35" s="121"/>
      <c r="N35" s="161">
        <f>Q22+R28</f>
        <v>-22147.821599999945</v>
      </c>
      <c r="O35" s="161"/>
      <c r="P35" s="26"/>
      <c r="Q35" s="26"/>
      <c r="R35" s="27"/>
    </row>
    <row r="36" spans="1:19" x14ac:dyDescent="0.25">
      <c r="A36" s="27"/>
      <c r="B36" s="27"/>
      <c r="C36" s="28"/>
      <c r="D36" s="29" t="s">
        <v>0</v>
      </c>
      <c r="E36" s="26" t="s">
        <v>114</v>
      </c>
      <c r="F36" s="91" t="s">
        <v>115</v>
      </c>
      <c r="G36" s="29"/>
      <c r="H36" s="29"/>
      <c r="I36" s="30"/>
      <c r="J36" s="31"/>
      <c r="K36" s="32"/>
      <c r="L36" s="32"/>
      <c r="M36" s="32"/>
      <c r="N36" s="32"/>
      <c r="O36" s="32"/>
      <c r="P36" s="26"/>
      <c r="Q36" s="26"/>
      <c r="R36" s="27"/>
    </row>
    <row r="37" spans="1:19" x14ac:dyDescent="0.25">
      <c r="A37" s="27"/>
      <c r="B37" s="27"/>
      <c r="C37" s="28"/>
      <c r="D37" s="29"/>
      <c r="E37" s="26"/>
      <c r="F37" s="91"/>
      <c r="G37" s="29"/>
      <c r="H37" s="29"/>
      <c r="I37" s="30"/>
      <c r="J37" s="31"/>
      <c r="K37" s="32"/>
      <c r="L37" s="32"/>
      <c r="M37" s="32"/>
      <c r="N37" s="32"/>
      <c r="O37" s="32"/>
      <c r="P37" s="26"/>
      <c r="Q37" s="26"/>
      <c r="R37" s="27"/>
    </row>
    <row r="38" spans="1:19" x14ac:dyDescent="0.25">
      <c r="A38" s="27"/>
      <c r="B38" s="27"/>
      <c r="C38" s="28"/>
      <c r="D38" s="29"/>
      <c r="E38" s="26"/>
      <c r="F38" s="26"/>
      <c r="G38" s="29"/>
      <c r="H38" s="29"/>
      <c r="I38" s="30"/>
      <c r="J38" s="31"/>
      <c r="K38" s="32"/>
      <c r="L38" s="32"/>
      <c r="M38" s="32"/>
      <c r="N38" s="32"/>
      <c r="O38" s="32"/>
      <c r="P38" s="26"/>
      <c r="Q38" s="26"/>
      <c r="R38" s="80"/>
    </row>
    <row r="39" spans="1:19" x14ac:dyDescent="0.25">
      <c r="A39" s="33"/>
      <c r="B39" s="33"/>
      <c r="C39" s="33"/>
      <c r="D39" s="33"/>
      <c r="E39" s="33"/>
      <c r="F39" s="33"/>
      <c r="G39" s="33"/>
      <c r="H39" s="36" t="s">
        <v>26</v>
      </c>
      <c r="I39" s="36"/>
      <c r="J39" s="36"/>
      <c r="K39" s="36"/>
      <c r="L39" s="36"/>
      <c r="M39" s="36"/>
      <c r="N39" s="36"/>
      <c r="O39" s="36"/>
      <c r="P39" s="79"/>
      <c r="Q39" s="33"/>
    </row>
    <row r="44" spans="1:19" x14ac:dyDescent="0.25">
      <c r="S44" s="104"/>
    </row>
    <row r="46" spans="1:19" x14ac:dyDescent="0.25">
      <c r="A46" s="147" t="s">
        <v>39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44"/>
      <c r="R46" s="44"/>
    </row>
    <row r="47" spans="1:19" x14ac:dyDescent="0.25">
      <c r="A47" s="137" t="s">
        <v>27</v>
      </c>
      <c r="B47" s="138"/>
      <c r="C47" s="139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37" t="s">
        <v>28</v>
      </c>
      <c r="P47" s="37" t="s">
        <v>29</v>
      </c>
      <c r="Q47" s="149" t="s">
        <v>38</v>
      </c>
      <c r="R47" s="150"/>
    </row>
    <row r="48" spans="1:19" x14ac:dyDescent="0.25">
      <c r="A48" s="151" t="s">
        <v>36</v>
      </c>
      <c r="B48" s="152"/>
      <c r="C48" s="153"/>
      <c r="D48" s="134" t="s">
        <v>40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O48" s="37" t="s">
        <v>41</v>
      </c>
      <c r="P48" s="45">
        <v>0.01</v>
      </c>
      <c r="Q48" s="149" t="s">
        <v>42</v>
      </c>
      <c r="R48" s="150"/>
    </row>
    <row r="49" spans="1:19" x14ac:dyDescent="0.25">
      <c r="A49" s="38" t="s">
        <v>31</v>
      </c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48"/>
      <c r="O49" s="148"/>
      <c r="P49" s="148"/>
      <c r="Q49" s="46" t="s">
        <v>32</v>
      </c>
      <c r="R49" s="47">
        <v>2.2709999999999999</v>
      </c>
      <c r="S49" s="62"/>
    </row>
    <row r="50" spans="1:19" ht="30" customHeight="1" x14ac:dyDescent="0.25">
      <c r="A50" s="151" t="s">
        <v>43</v>
      </c>
      <c r="B50" s="152"/>
      <c r="C50" s="153"/>
      <c r="D50" s="140" t="s">
        <v>45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2"/>
      <c r="O50" s="37" t="s">
        <v>46</v>
      </c>
      <c r="P50" s="45">
        <v>0.01</v>
      </c>
      <c r="Q50" s="149" t="s">
        <v>44</v>
      </c>
      <c r="R50" s="150"/>
    </row>
    <row r="51" spans="1:19" ht="30" customHeight="1" x14ac:dyDescent="0.25">
      <c r="A51" s="143"/>
      <c r="B51" s="143"/>
      <c r="C51" s="143"/>
      <c r="D51" s="144" t="s">
        <v>47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37" t="s">
        <v>41</v>
      </c>
      <c r="P51" s="45">
        <v>0.01</v>
      </c>
      <c r="Q51" s="145"/>
      <c r="R51" s="145"/>
    </row>
    <row r="52" spans="1:19" x14ac:dyDescent="0.25">
      <c r="A52" s="51" t="s">
        <v>31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155"/>
      <c r="O52" s="155"/>
      <c r="P52" s="155"/>
      <c r="Q52" s="54" t="s">
        <v>32</v>
      </c>
      <c r="R52" s="55">
        <v>0.24099999999999999</v>
      </c>
    </row>
    <row r="53" spans="1:19" x14ac:dyDescent="0.25">
      <c r="A53" s="151" t="s">
        <v>48</v>
      </c>
      <c r="B53" s="152"/>
      <c r="C53" s="153"/>
      <c r="D53" s="140" t="s">
        <v>34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2"/>
      <c r="O53" s="37" t="s">
        <v>46</v>
      </c>
      <c r="P53" s="45">
        <v>0.05</v>
      </c>
      <c r="Q53" s="149"/>
      <c r="R53" s="150"/>
    </row>
    <row r="54" spans="1:19" x14ac:dyDescent="0.25">
      <c r="A54" s="143"/>
      <c r="B54" s="143"/>
      <c r="C54" s="143"/>
      <c r="D54" s="144" t="s">
        <v>35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37" t="s">
        <v>46</v>
      </c>
      <c r="P54" s="45">
        <v>0.05</v>
      </c>
      <c r="Q54" s="145"/>
      <c r="R54" s="145"/>
    </row>
    <row r="55" spans="1:19" x14ac:dyDescent="0.25">
      <c r="A55" s="56" t="s">
        <v>31</v>
      </c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54"/>
      <c r="O55" s="154"/>
      <c r="P55" s="154"/>
      <c r="Q55" s="59" t="s">
        <v>32</v>
      </c>
      <c r="R55" s="60">
        <v>5.6150000000000002</v>
      </c>
    </row>
    <row r="56" spans="1:19" x14ac:dyDescent="0.25">
      <c r="A56" s="151" t="s">
        <v>48</v>
      </c>
      <c r="B56" s="152"/>
      <c r="C56" s="153"/>
      <c r="D56" s="140" t="s">
        <v>33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2"/>
      <c r="O56" s="37" t="s">
        <v>30</v>
      </c>
      <c r="P56" s="45">
        <v>0.16</v>
      </c>
      <c r="Q56" s="149" t="s">
        <v>50</v>
      </c>
      <c r="R56" s="150"/>
    </row>
    <row r="57" spans="1:19" x14ac:dyDescent="0.25">
      <c r="A57" s="56" t="s">
        <v>31</v>
      </c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154"/>
      <c r="O57" s="154"/>
      <c r="P57" s="154"/>
      <c r="Q57" s="59" t="s">
        <v>32</v>
      </c>
      <c r="R57" s="61">
        <v>1.54</v>
      </c>
    </row>
    <row r="58" spans="1:19" x14ac:dyDescent="0.25">
      <c r="A58" s="151" t="s">
        <v>51</v>
      </c>
      <c r="B58" s="152"/>
      <c r="C58" s="153"/>
      <c r="D58" s="140" t="s">
        <v>53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2"/>
      <c r="O58" s="37" t="s">
        <v>54</v>
      </c>
      <c r="P58" s="45">
        <v>0.01</v>
      </c>
      <c r="Q58" s="149" t="s">
        <v>52</v>
      </c>
      <c r="R58" s="150"/>
    </row>
    <row r="59" spans="1:19" x14ac:dyDescent="0.25">
      <c r="A59" s="143"/>
      <c r="B59" s="143"/>
      <c r="C59" s="143"/>
      <c r="D59" s="144" t="s">
        <v>55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37" t="s">
        <v>56</v>
      </c>
      <c r="P59" s="45">
        <v>1</v>
      </c>
      <c r="Q59" s="149"/>
      <c r="R59" s="150"/>
    </row>
    <row r="60" spans="1:19" x14ac:dyDescent="0.25">
      <c r="A60" s="63" t="s">
        <v>31</v>
      </c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156"/>
      <c r="O60" s="156"/>
      <c r="P60" s="156"/>
      <c r="Q60" s="66" t="s">
        <v>32</v>
      </c>
      <c r="R60" s="67">
        <v>4.6589999999999998</v>
      </c>
    </row>
    <row r="61" spans="1:19" x14ac:dyDescent="0.25">
      <c r="A61" s="143" t="s">
        <v>51</v>
      </c>
      <c r="B61" s="143"/>
      <c r="C61" s="143"/>
      <c r="D61" s="144" t="s">
        <v>57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37" t="s">
        <v>41</v>
      </c>
      <c r="P61" s="45">
        <v>0.01</v>
      </c>
      <c r="Q61" s="149"/>
      <c r="R61" s="150"/>
    </row>
    <row r="62" spans="1:19" x14ac:dyDescent="0.25">
      <c r="A62" s="63" t="s">
        <v>31</v>
      </c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156"/>
      <c r="O62" s="156"/>
      <c r="P62" s="156"/>
      <c r="Q62" s="66" t="s">
        <v>32</v>
      </c>
      <c r="R62" s="67">
        <v>0.125</v>
      </c>
    </row>
    <row r="63" spans="1:19" x14ac:dyDescent="0.25">
      <c r="A63" s="143" t="s">
        <v>58</v>
      </c>
      <c r="B63" s="143"/>
      <c r="C63" s="143"/>
      <c r="D63" s="144" t="s">
        <v>59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37" t="s">
        <v>60</v>
      </c>
      <c r="P63" s="45">
        <v>0.2</v>
      </c>
      <c r="Q63" s="149"/>
      <c r="R63" s="150"/>
    </row>
    <row r="64" spans="1:19" x14ac:dyDescent="0.25">
      <c r="A64" s="68" t="s">
        <v>31</v>
      </c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157"/>
      <c r="O64" s="157"/>
      <c r="P64" s="157"/>
      <c r="Q64" s="71" t="s">
        <v>32</v>
      </c>
      <c r="R64" s="72">
        <v>7.6459999999999999</v>
      </c>
    </row>
    <row r="65" spans="1:20" ht="31.5" customHeight="1" x14ac:dyDescent="0.25">
      <c r="A65" s="143" t="s">
        <v>61</v>
      </c>
      <c r="B65" s="143"/>
      <c r="C65" s="143"/>
      <c r="D65" s="144" t="s">
        <v>45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37" t="s">
        <v>46</v>
      </c>
      <c r="P65" s="45">
        <v>0.11</v>
      </c>
      <c r="Q65" s="145"/>
      <c r="R65" s="145"/>
    </row>
    <row r="66" spans="1:20" ht="31.5" customHeight="1" x14ac:dyDescent="0.25">
      <c r="A66" s="143"/>
      <c r="B66" s="143"/>
      <c r="C66" s="143"/>
      <c r="D66" s="140" t="s">
        <v>62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2"/>
      <c r="O66" s="37" t="s">
        <v>41</v>
      </c>
      <c r="P66" s="45">
        <v>0.02</v>
      </c>
      <c r="Q66" s="145"/>
      <c r="R66" s="145"/>
      <c r="T66" s="104"/>
    </row>
    <row r="67" spans="1:20" x14ac:dyDescent="0.25">
      <c r="A67" s="73" t="s">
        <v>31</v>
      </c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146"/>
      <c r="O67" s="146"/>
      <c r="P67" s="146"/>
      <c r="Q67" s="76" t="s">
        <v>32</v>
      </c>
      <c r="R67" s="77">
        <v>3.121</v>
      </c>
    </row>
    <row r="68" spans="1:20" ht="30.75" customHeight="1" x14ac:dyDescent="0.25">
      <c r="A68" s="143" t="s">
        <v>61</v>
      </c>
      <c r="B68" s="143"/>
      <c r="C68" s="143"/>
      <c r="D68" s="140" t="s">
        <v>63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2"/>
      <c r="O68" s="37" t="s">
        <v>60</v>
      </c>
      <c r="P68" s="78">
        <v>1.7999999999999999E-2</v>
      </c>
      <c r="Q68" s="145"/>
      <c r="R68" s="145"/>
    </row>
    <row r="69" spans="1:20" x14ac:dyDescent="0.25">
      <c r="A69" s="73" t="s">
        <v>31</v>
      </c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146"/>
      <c r="O69" s="146"/>
      <c r="P69" s="146"/>
      <c r="Q69" s="76" t="s">
        <v>32</v>
      </c>
      <c r="R69" s="77">
        <v>4.3140000000000001</v>
      </c>
    </row>
    <row r="70" spans="1:20" x14ac:dyDescent="0.25">
      <c r="A70" s="143" t="s">
        <v>64</v>
      </c>
      <c r="B70" s="143"/>
      <c r="C70" s="143"/>
      <c r="D70" s="140" t="s">
        <v>66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2"/>
      <c r="O70" s="37" t="s">
        <v>30</v>
      </c>
      <c r="P70" s="78">
        <v>2.5999999999999999E-2</v>
      </c>
      <c r="Q70" s="145" t="s">
        <v>65</v>
      </c>
      <c r="R70" s="145"/>
    </row>
    <row r="71" spans="1:20" x14ac:dyDescent="0.25">
      <c r="A71" s="143"/>
      <c r="B71" s="143"/>
      <c r="C71" s="143"/>
      <c r="D71" s="144" t="s">
        <v>67</v>
      </c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37" t="s">
        <v>30</v>
      </c>
      <c r="P71" s="78">
        <v>2.5999999999999999E-2</v>
      </c>
      <c r="Q71" s="145"/>
      <c r="R71" s="145"/>
    </row>
    <row r="72" spans="1:20" x14ac:dyDescent="0.25">
      <c r="A72" s="143"/>
      <c r="B72" s="143"/>
      <c r="C72" s="143"/>
      <c r="D72" s="144" t="s">
        <v>68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37" t="s">
        <v>69</v>
      </c>
      <c r="P72" s="45">
        <v>0.01</v>
      </c>
      <c r="Q72" s="145"/>
      <c r="R72" s="145"/>
    </row>
    <row r="73" spans="1:20" x14ac:dyDescent="0.25">
      <c r="A73" s="143"/>
      <c r="B73" s="143"/>
      <c r="C73" s="143"/>
      <c r="D73" s="144" t="s">
        <v>70</v>
      </c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37" t="s">
        <v>69</v>
      </c>
      <c r="P73" s="45">
        <v>0.01</v>
      </c>
      <c r="Q73" s="145"/>
      <c r="R73" s="145"/>
    </row>
    <row r="74" spans="1:20" x14ac:dyDescent="0.25">
      <c r="A74" s="81" t="s">
        <v>31</v>
      </c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160"/>
      <c r="O74" s="160"/>
      <c r="P74" s="160"/>
      <c r="Q74" s="84" t="s">
        <v>32</v>
      </c>
      <c r="R74" s="85">
        <v>3.2559999999999998</v>
      </c>
    </row>
    <row r="75" spans="1:20" x14ac:dyDescent="0.25">
      <c r="A75" s="143" t="s">
        <v>71</v>
      </c>
      <c r="B75" s="143"/>
      <c r="C75" s="143"/>
      <c r="D75" s="144" t="s">
        <v>73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37" t="s">
        <v>74</v>
      </c>
      <c r="P75" s="45">
        <v>0.02</v>
      </c>
      <c r="Q75" s="145" t="s">
        <v>72</v>
      </c>
      <c r="R75" s="145"/>
    </row>
    <row r="76" spans="1:20" x14ac:dyDescent="0.25">
      <c r="A76" s="86" t="s">
        <v>31</v>
      </c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159"/>
      <c r="O76" s="159"/>
      <c r="P76" s="159"/>
      <c r="Q76" s="89" t="s">
        <v>32</v>
      </c>
      <c r="R76" s="90">
        <v>0.86499999999999999</v>
      </c>
    </row>
    <row r="77" spans="1:20" x14ac:dyDescent="0.25">
      <c r="A77" s="143" t="s">
        <v>75</v>
      </c>
      <c r="B77" s="143"/>
      <c r="C77" s="143"/>
      <c r="D77" s="144" t="s">
        <v>95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37" t="s">
        <v>60</v>
      </c>
      <c r="P77" s="45">
        <v>2.93</v>
      </c>
      <c r="Q77" s="145" t="s">
        <v>96</v>
      </c>
      <c r="R77" s="145"/>
    </row>
    <row r="78" spans="1:20" x14ac:dyDescent="0.25">
      <c r="A78" s="99" t="s">
        <v>31</v>
      </c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58"/>
      <c r="O78" s="158"/>
      <c r="P78" s="158"/>
      <c r="Q78" s="102" t="s">
        <v>32</v>
      </c>
      <c r="R78" s="103">
        <v>1.8169999999999999</v>
      </c>
    </row>
    <row r="79" spans="1:20" ht="33" customHeight="1" x14ac:dyDescent="0.25">
      <c r="A79" s="143" t="s">
        <v>75</v>
      </c>
      <c r="B79" s="143"/>
      <c r="C79" s="143"/>
      <c r="D79" s="144" t="s">
        <v>97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37" t="s">
        <v>30</v>
      </c>
      <c r="P79" s="45">
        <v>5</v>
      </c>
      <c r="Q79" s="145"/>
      <c r="R79" s="145"/>
    </row>
    <row r="80" spans="1:20" x14ac:dyDescent="0.25">
      <c r="A80" s="99" t="s">
        <v>31</v>
      </c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58"/>
      <c r="O80" s="158"/>
      <c r="P80" s="158"/>
      <c r="Q80" s="102" t="s">
        <v>32</v>
      </c>
      <c r="R80" s="103">
        <v>14.677</v>
      </c>
    </row>
    <row r="81" spans="1:18" ht="31.5" customHeight="1" x14ac:dyDescent="0.25">
      <c r="A81" s="143" t="s">
        <v>94</v>
      </c>
      <c r="B81" s="143"/>
      <c r="C81" s="143"/>
      <c r="D81" s="144" t="s">
        <v>98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37" t="s">
        <v>99</v>
      </c>
      <c r="P81" s="45">
        <v>1</v>
      </c>
      <c r="Q81" s="145" t="s">
        <v>65</v>
      </c>
      <c r="R81" s="145"/>
    </row>
    <row r="82" spans="1:18" x14ac:dyDescent="0.25">
      <c r="A82" s="73" t="s">
        <v>31</v>
      </c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146"/>
      <c r="O82" s="146"/>
      <c r="P82" s="146"/>
      <c r="Q82" s="76" t="s">
        <v>32</v>
      </c>
      <c r="R82" s="77">
        <v>5.58</v>
      </c>
    </row>
    <row r="83" spans="1:18" x14ac:dyDescent="0.25">
      <c r="A83" s="143" t="s">
        <v>94</v>
      </c>
      <c r="B83" s="143"/>
      <c r="C83" s="143"/>
      <c r="D83" s="144" t="s">
        <v>59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37" t="s">
        <v>60</v>
      </c>
      <c r="P83" s="45">
        <v>0.05</v>
      </c>
      <c r="Q83" s="145" t="s">
        <v>100</v>
      </c>
      <c r="R83" s="145"/>
    </row>
    <row r="84" spans="1:18" x14ac:dyDescent="0.25">
      <c r="A84" s="73" t="s">
        <v>31</v>
      </c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146"/>
      <c r="O84" s="146"/>
      <c r="P84" s="146"/>
      <c r="Q84" s="76" t="s">
        <v>32</v>
      </c>
      <c r="R84" s="77">
        <v>1.952</v>
      </c>
    </row>
    <row r="85" spans="1:18" x14ac:dyDescent="0.25">
      <c r="A85" s="143" t="s">
        <v>101</v>
      </c>
      <c r="B85" s="143"/>
      <c r="C85" s="143"/>
      <c r="D85" s="144" t="s">
        <v>103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37" t="s">
        <v>46</v>
      </c>
      <c r="P85" s="45">
        <v>0.14000000000000001</v>
      </c>
      <c r="Q85" s="145"/>
      <c r="R85" s="145"/>
    </row>
    <row r="86" spans="1:18" x14ac:dyDescent="0.25">
      <c r="A86" s="106" t="s">
        <v>31</v>
      </c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63"/>
      <c r="O86" s="163"/>
      <c r="P86" s="163"/>
      <c r="Q86" s="109" t="s">
        <v>32</v>
      </c>
      <c r="R86" s="110">
        <v>4.843</v>
      </c>
    </row>
    <row r="87" spans="1:18" x14ac:dyDescent="0.25">
      <c r="A87" s="143" t="s">
        <v>0</v>
      </c>
      <c r="B87" s="143"/>
      <c r="C87" s="143"/>
      <c r="D87" s="144" t="s">
        <v>57</v>
      </c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37" t="s">
        <v>41</v>
      </c>
      <c r="P87" s="45">
        <v>0.01</v>
      </c>
      <c r="Q87" s="145"/>
      <c r="R87" s="145"/>
    </row>
    <row r="88" spans="1:18" x14ac:dyDescent="0.25">
      <c r="A88" s="143"/>
      <c r="B88" s="143"/>
      <c r="C88" s="111"/>
      <c r="D88" s="144" t="s">
        <v>105</v>
      </c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37" t="s">
        <v>106</v>
      </c>
      <c r="P88" s="45">
        <v>1</v>
      </c>
      <c r="Q88" s="145"/>
      <c r="R88" s="145"/>
    </row>
    <row r="89" spans="1:18" x14ac:dyDescent="0.25">
      <c r="A89" s="114" t="s">
        <v>31</v>
      </c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62"/>
      <c r="O89" s="162"/>
      <c r="P89" s="162"/>
      <c r="Q89" s="117" t="s">
        <v>32</v>
      </c>
      <c r="R89" s="118">
        <v>0.30099999999999999</v>
      </c>
    </row>
    <row r="90" spans="1:18" ht="30.75" customHeight="1" x14ac:dyDescent="0.25">
      <c r="A90" s="143" t="s">
        <v>0</v>
      </c>
      <c r="B90" s="143"/>
      <c r="C90" s="143"/>
      <c r="D90" s="144" t="s">
        <v>108</v>
      </c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37" t="s">
        <v>99</v>
      </c>
      <c r="P90" s="45">
        <v>2</v>
      </c>
      <c r="Q90" s="145" t="s">
        <v>107</v>
      </c>
      <c r="R90" s="145"/>
    </row>
    <row r="91" spans="1:18" ht="33" customHeight="1" x14ac:dyDescent="0.25">
      <c r="A91" s="143"/>
      <c r="B91" s="143"/>
      <c r="C91" s="119"/>
      <c r="D91" s="144" t="s">
        <v>109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37" t="s">
        <v>99</v>
      </c>
      <c r="P91" s="45">
        <v>1</v>
      </c>
      <c r="Q91" s="145"/>
      <c r="R91" s="145"/>
    </row>
    <row r="92" spans="1:18" ht="33" customHeight="1" x14ac:dyDescent="0.25">
      <c r="A92" s="143"/>
      <c r="B92" s="143"/>
      <c r="C92" s="119"/>
      <c r="D92" s="144" t="s">
        <v>110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37" t="s">
        <v>30</v>
      </c>
      <c r="P92" s="78">
        <v>1.4999999999999999E-2</v>
      </c>
      <c r="Q92" s="145"/>
      <c r="R92" s="145"/>
    </row>
    <row r="93" spans="1:18" ht="33" customHeight="1" x14ac:dyDescent="0.25">
      <c r="A93" s="143"/>
      <c r="B93" s="143"/>
      <c r="C93" s="119"/>
      <c r="D93" s="144" t="s">
        <v>67</v>
      </c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37" t="s">
        <v>30</v>
      </c>
      <c r="P93" s="78">
        <v>1.4999999999999999E-2</v>
      </c>
      <c r="Q93" s="145"/>
      <c r="R93" s="145"/>
    </row>
    <row r="94" spans="1:18" x14ac:dyDescent="0.25">
      <c r="A94" s="114" t="s">
        <v>31</v>
      </c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62"/>
      <c r="O94" s="162"/>
      <c r="P94" s="162"/>
      <c r="Q94" s="117" t="s">
        <v>32</v>
      </c>
      <c r="R94" s="118">
        <v>4.1840000000000002</v>
      </c>
    </row>
    <row r="95" spans="1:18" x14ac:dyDescent="0.25">
      <c r="R95" s="62"/>
    </row>
    <row r="96" spans="1:18" x14ac:dyDescent="0.25">
      <c r="R96" s="62"/>
    </row>
    <row r="101" spans="17:17" x14ac:dyDescent="0.25">
      <c r="Q101" s="62"/>
    </row>
  </sheetData>
  <mergeCells count="115">
    <mergeCell ref="A87:C87"/>
    <mergeCell ref="D87:N87"/>
    <mergeCell ref="Q87:R87"/>
    <mergeCell ref="N89:P89"/>
    <mergeCell ref="A88:B88"/>
    <mergeCell ref="D88:N88"/>
    <mergeCell ref="Q88:R88"/>
    <mergeCell ref="N86:P86"/>
    <mergeCell ref="Q71:R71"/>
    <mergeCell ref="A73:C73"/>
    <mergeCell ref="A90:C90"/>
    <mergeCell ref="D90:N90"/>
    <mergeCell ref="Q90:R90"/>
    <mergeCell ref="A91:B91"/>
    <mergeCell ref="D91:N91"/>
    <mergeCell ref="Q91:R91"/>
    <mergeCell ref="N94:P94"/>
    <mergeCell ref="A92:B92"/>
    <mergeCell ref="D92:N92"/>
    <mergeCell ref="Q92:R92"/>
    <mergeCell ref="A93:B93"/>
    <mergeCell ref="D93:N93"/>
    <mergeCell ref="Q93:R93"/>
    <mergeCell ref="A79:C79"/>
    <mergeCell ref="D79:N79"/>
    <mergeCell ref="Q79:R79"/>
    <mergeCell ref="Q72:R72"/>
    <mergeCell ref="A72:C72"/>
    <mergeCell ref="D72:N72"/>
    <mergeCell ref="A77:C77"/>
    <mergeCell ref="D77:N77"/>
    <mergeCell ref="Q77:R77"/>
    <mergeCell ref="N78:P78"/>
    <mergeCell ref="Q73:R73"/>
    <mergeCell ref="Q75:R75"/>
    <mergeCell ref="N76:P76"/>
    <mergeCell ref="N74:P74"/>
    <mergeCell ref="A85:C85"/>
    <mergeCell ref="D85:N85"/>
    <mergeCell ref="Q85:R85"/>
    <mergeCell ref="Q70:R70"/>
    <mergeCell ref="A68:C68"/>
    <mergeCell ref="N57:P57"/>
    <mergeCell ref="Q66:R66"/>
    <mergeCell ref="N62:P62"/>
    <mergeCell ref="A63:C63"/>
    <mergeCell ref="D63:N63"/>
    <mergeCell ref="Q63:R63"/>
    <mergeCell ref="A83:C83"/>
    <mergeCell ref="D83:N83"/>
    <mergeCell ref="Q83:R83"/>
    <mergeCell ref="N84:P84"/>
    <mergeCell ref="A81:C81"/>
    <mergeCell ref="D81:N81"/>
    <mergeCell ref="Q81:R81"/>
    <mergeCell ref="N82:P82"/>
    <mergeCell ref="N80:P80"/>
    <mergeCell ref="N67:P67"/>
    <mergeCell ref="A66:C66"/>
    <mergeCell ref="A75:C75"/>
    <mergeCell ref="D75:N75"/>
    <mergeCell ref="A65:C65"/>
    <mergeCell ref="D65:N65"/>
    <mergeCell ref="Q65:R65"/>
    <mergeCell ref="D56:N56"/>
    <mergeCell ref="Q56:R56"/>
    <mergeCell ref="A58:C58"/>
    <mergeCell ref="D58:N58"/>
    <mergeCell ref="Q58:R58"/>
    <mergeCell ref="N60:P60"/>
    <mergeCell ref="A59:C59"/>
    <mergeCell ref="D59:N59"/>
    <mergeCell ref="Q59:R59"/>
    <mergeCell ref="A61:C61"/>
    <mergeCell ref="D61:N61"/>
    <mergeCell ref="Q61:R61"/>
    <mergeCell ref="N64:P64"/>
    <mergeCell ref="N55:P55"/>
    <mergeCell ref="A53:C53"/>
    <mergeCell ref="D53:N53"/>
    <mergeCell ref="Q53:R53"/>
    <mergeCell ref="N52:P52"/>
    <mergeCell ref="A51:C51"/>
    <mergeCell ref="D51:N51"/>
    <mergeCell ref="Q51:R51"/>
    <mergeCell ref="A56:C56"/>
    <mergeCell ref="A54:C54"/>
    <mergeCell ref="D54:N54"/>
    <mergeCell ref="Q54:R54"/>
    <mergeCell ref="A4:P4"/>
    <mergeCell ref="D5:F5"/>
    <mergeCell ref="H5:H6"/>
    <mergeCell ref="L5:O5"/>
    <mergeCell ref="P5:P6"/>
    <mergeCell ref="A46:P46"/>
    <mergeCell ref="N49:P49"/>
    <mergeCell ref="A47:C47"/>
    <mergeCell ref="D47:N47"/>
    <mergeCell ref="Q47:R47"/>
    <mergeCell ref="A48:C48"/>
    <mergeCell ref="D48:N48"/>
    <mergeCell ref="Q48:R48"/>
    <mergeCell ref="A50:C50"/>
    <mergeCell ref="D50:N50"/>
    <mergeCell ref="Q50:R50"/>
    <mergeCell ref="N35:O35"/>
    <mergeCell ref="D66:N66"/>
    <mergeCell ref="D68:N68"/>
    <mergeCell ref="A71:C71"/>
    <mergeCell ref="D71:N71"/>
    <mergeCell ref="Q68:R68"/>
    <mergeCell ref="N69:P69"/>
    <mergeCell ref="A70:C70"/>
    <mergeCell ref="D70:N70"/>
    <mergeCell ref="D73:N73"/>
  </mergeCells>
  <pageMargins left="0.21875" right="1.0416666666666666E-2" top="0.75" bottom="0.75" header="0.3" footer="0.3"/>
  <pageSetup paperSize="9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2015-02-09T11:05:45Z</dcterms:modified>
</cp:coreProperties>
</file>