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2014" sheetId="1" r:id="rId1"/>
  </sheets>
  <definedNames>
    <definedName name="_xlnm.Print_Area" localSheetId="0">'2014'!$A$36:$R$113</definedName>
  </definedNames>
  <calcPr calcId="145621" refMode="R1C1"/>
</workbook>
</file>

<file path=xl/calcChain.xml><?xml version="1.0" encoding="utf-8"?>
<calcChain xmlns="http://schemas.openxmlformats.org/spreadsheetml/2006/main">
  <c r="J17" i="1" l="1"/>
  <c r="D17" i="1" l="1"/>
  <c r="E17" i="1"/>
  <c r="F17" i="1" s="1"/>
  <c r="L17" i="1"/>
  <c r="G17" i="1" l="1"/>
  <c r="H17" i="1"/>
  <c r="N17" i="1"/>
  <c r="O17" i="1" s="1"/>
  <c r="P17" i="1" s="1"/>
  <c r="D18" i="1"/>
  <c r="M20" i="1" l="1"/>
  <c r="D19" i="1" l="1"/>
  <c r="J16" i="1" l="1"/>
  <c r="D16" i="1" l="1"/>
  <c r="E16" i="1" l="1"/>
  <c r="F16" i="1" s="1"/>
  <c r="G16" i="1" l="1"/>
  <c r="N16" i="1"/>
  <c r="H16" i="1"/>
  <c r="L14" i="1"/>
  <c r="O16" i="1" l="1"/>
  <c r="J15" i="1"/>
  <c r="P16" i="1" l="1"/>
  <c r="J14" i="1"/>
  <c r="E15" i="1" l="1"/>
  <c r="D15" i="1"/>
  <c r="F15" i="1" l="1"/>
  <c r="G15" i="1" s="1"/>
  <c r="H15" i="1" l="1"/>
  <c r="N15" i="1"/>
  <c r="O15" i="1" l="1"/>
  <c r="P15" i="1" s="1"/>
  <c r="D14" i="1"/>
  <c r="E14" i="1"/>
  <c r="F14" i="1" l="1"/>
  <c r="G14" i="1" s="1"/>
  <c r="N14" i="1" l="1"/>
  <c r="H14" i="1"/>
  <c r="J13" i="1"/>
  <c r="O14" i="1" l="1"/>
  <c r="P14" i="1" s="1"/>
  <c r="E13" i="1"/>
  <c r="D13" i="1"/>
  <c r="L13" i="1" l="1"/>
  <c r="F13" i="1" l="1"/>
  <c r="G13" i="1" l="1"/>
  <c r="N13" i="1"/>
  <c r="H13" i="1"/>
  <c r="J12" i="1"/>
  <c r="O13" i="1" l="1"/>
  <c r="P13" i="1" s="1"/>
  <c r="D12" i="1"/>
  <c r="E12" i="1"/>
  <c r="F12" i="1" l="1"/>
  <c r="G12" i="1" s="1"/>
  <c r="J11" i="1"/>
  <c r="N12" i="1" l="1"/>
  <c r="H12" i="1"/>
  <c r="O12" i="1" l="1"/>
  <c r="P12" i="1" s="1"/>
  <c r="L11" i="1"/>
  <c r="D11" i="1" l="1"/>
  <c r="E11" i="1"/>
  <c r="F11" i="1" l="1"/>
  <c r="G11" i="1" s="1"/>
  <c r="F19" i="1"/>
  <c r="H19" i="1" s="1"/>
  <c r="N11" i="1" l="1"/>
  <c r="H11" i="1"/>
  <c r="N19" i="1"/>
  <c r="O19" i="1" s="1"/>
  <c r="P19" i="1" s="1"/>
  <c r="D10" i="1"/>
  <c r="E10" i="1"/>
  <c r="O11" i="1" l="1"/>
  <c r="P11" i="1" s="1"/>
  <c r="F10" i="1"/>
  <c r="G10" i="1" s="1"/>
  <c r="L9" i="1"/>
  <c r="H10" i="1" l="1"/>
  <c r="N10" i="1"/>
  <c r="D9" i="1"/>
  <c r="E9" i="1"/>
  <c r="J9" i="1"/>
  <c r="O10" i="1" l="1"/>
  <c r="P10" i="1" s="1"/>
  <c r="F9" i="1"/>
  <c r="G9" i="1" s="1"/>
  <c r="H9" i="1" l="1"/>
  <c r="N9" i="1"/>
  <c r="L8" i="1"/>
  <c r="I8" i="1"/>
  <c r="I20" i="1" s="1"/>
  <c r="O9" i="1" l="1"/>
  <c r="P9" i="1" s="1"/>
  <c r="F18" i="1"/>
  <c r="H18" i="1" s="1"/>
  <c r="N18" i="1" l="1"/>
  <c r="O18" i="1" s="1"/>
  <c r="P18" i="1" s="1"/>
  <c r="J8" i="1"/>
  <c r="J20" i="1" s="1"/>
  <c r="D8" i="1" l="1"/>
  <c r="E8" i="1"/>
  <c r="F8" i="1" l="1"/>
  <c r="G8" i="1" s="1"/>
  <c r="L7" i="1"/>
  <c r="L20" i="1" s="1"/>
  <c r="H8" i="1" l="1"/>
  <c r="N8" i="1"/>
  <c r="E7" i="1"/>
  <c r="E20" i="1" s="1"/>
  <c r="D7" i="1"/>
  <c r="D20" i="1" s="1"/>
  <c r="K7" i="1"/>
  <c r="K20" i="1" s="1"/>
  <c r="O8" i="1" l="1"/>
  <c r="P8" i="1" s="1"/>
  <c r="F7" i="1"/>
  <c r="F20" i="1" s="1"/>
  <c r="G7" i="1" l="1"/>
  <c r="G20" i="1" s="1"/>
  <c r="H7" i="1"/>
  <c r="H20" i="1" s="1"/>
  <c r="N7" i="1"/>
  <c r="N20" i="1" s="1"/>
  <c r="O7" i="1" l="1"/>
  <c r="O20" i="1" s="1"/>
  <c r="P20" i="1" l="1"/>
  <c r="P7" i="1"/>
</calcChain>
</file>

<file path=xl/comments1.xml><?xml version="1.0" encoding="utf-8"?>
<comments xmlns="http://schemas.openxmlformats.org/spreadsheetml/2006/main">
  <authors>
    <author>Автор</author>
  </authors>
  <commentLis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643р-гофра,3 светильника, 3 лампочки, хомут
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15000р-спил деревьев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320руб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549р-моющие
3000р-прочистка канализации другой организацией
3918р-вывоз мусора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708р-ксерокопирование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3800р -дезинсекция</t>
        </r>
      </text>
    </comment>
    <comment ref="L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7065р-дезинсекция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шт-300р с 01.02.2014</t>
        </r>
      </text>
    </comment>
  </commentList>
</comments>
</file>

<file path=xl/sharedStrings.xml><?xml version="1.0" encoding="utf-8"?>
<sst xmlns="http://schemas.openxmlformats.org/spreadsheetml/2006/main" count="286" uniqueCount="130">
  <si>
    <t xml:space="preserve"> </t>
  </si>
  <si>
    <t>Площадь</t>
  </si>
  <si>
    <t xml:space="preserve">Кол-во </t>
  </si>
  <si>
    <t xml:space="preserve">Поступило </t>
  </si>
  <si>
    <t xml:space="preserve">Оплата </t>
  </si>
  <si>
    <t>Налог</t>
  </si>
  <si>
    <t>Уборка</t>
  </si>
  <si>
    <t>Ремонт</t>
  </si>
  <si>
    <t>Содержание</t>
  </si>
  <si>
    <t>Расходы</t>
  </si>
  <si>
    <t xml:space="preserve">Остаток на </t>
  </si>
  <si>
    <t>Кап.</t>
  </si>
  <si>
    <t>кв</t>
  </si>
  <si>
    <t>содер</t>
  </si>
  <si>
    <t>рем</t>
  </si>
  <si>
    <t>итого</t>
  </si>
  <si>
    <t>ЕРКЦ</t>
  </si>
  <si>
    <t>тер.</t>
  </si>
  <si>
    <t xml:space="preserve">сметы </t>
  </si>
  <si>
    <t>договор ав.</t>
  </si>
  <si>
    <t>Разное</t>
  </si>
  <si>
    <t>эксплуатац</t>
  </si>
  <si>
    <t>конец</t>
  </si>
  <si>
    <t>ремонт</t>
  </si>
  <si>
    <t>теплосчетчик</t>
  </si>
  <si>
    <t>февраль</t>
  </si>
  <si>
    <t>Учет доходов и расходов по Калинина 131/1 на 2014 год</t>
  </si>
  <si>
    <t>Месяц</t>
  </si>
  <si>
    <t>ед. изм.</t>
  </si>
  <si>
    <t>кол-во</t>
  </si>
  <si>
    <t>Место провед-я работ</t>
  </si>
  <si>
    <t>ИТОГО</t>
  </si>
  <si>
    <t>тыс.руб.</t>
  </si>
  <si>
    <t>Ген. директор ООО "Георгиевск - ЖЭУ"                                            Никишина И.М.</t>
  </si>
  <si>
    <t>Прокладка трубопроводов водоснабжения из напорных полиэтиленовых трубнизкого давления среднего типа наружным диаметром: 25мм</t>
  </si>
  <si>
    <t>100м тр-да</t>
  </si>
  <si>
    <t>Демонтаж: ридиаторов весом до 80кг</t>
  </si>
  <si>
    <t>100шт</t>
  </si>
  <si>
    <t>гофра, 3 светильника, 3 лампочки, хомут</t>
  </si>
  <si>
    <t>Перечень выполненных работ по сметам за 2014 год по дому Калинина 131/1</t>
  </si>
  <si>
    <t>кв.5</t>
  </si>
  <si>
    <t>643р</t>
  </si>
  <si>
    <t>март</t>
  </si>
  <si>
    <t>кв.77</t>
  </si>
  <si>
    <t>Ремонт групповых щитков на лестничной клетке со сменой автоматов</t>
  </si>
  <si>
    <t>подъезды</t>
  </si>
  <si>
    <t>Смена светильников: с лампами накаливания</t>
  </si>
  <si>
    <t>кв.43</t>
  </si>
  <si>
    <t>Ремонт групповых щитков на лестничной клетке без ремонта автоматов</t>
  </si>
  <si>
    <t>Медведев А.Г.</t>
  </si>
  <si>
    <t>15000р</t>
  </si>
  <si>
    <t>спил деревьев</t>
  </si>
  <si>
    <t>апрель</t>
  </si>
  <si>
    <t>кв.109 х/в</t>
  </si>
  <si>
    <t>Разборка трубопроводов из водогазопроводных труб диаметром: до 32мм</t>
  </si>
  <si>
    <t>Прокладка трубопроводов водоснабжения из напорных полиэтиленовых труб низкого давления среднего типа наружным диаметром: 32мм</t>
  </si>
  <si>
    <t>кв.24,21,36</t>
  </si>
  <si>
    <t>Разборка трубопроводов из чугунных канализационных труб диаметом: 100мм</t>
  </si>
  <si>
    <t>Прокладка трубопроводов канализации из полиэтиленовых труб высокой плотности диаметром: 110мм</t>
  </si>
  <si>
    <t>Ревизия групповых щитков на лестничной клетке без ремонта автоматов</t>
  </si>
  <si>
    <t>2 подъезд</t>
  </si>
  <si>
    <t>кв.13,14,28,29,31,74,72,88,89</t>
  </si>
  <si>
    <t>Ремонт отдельными местами рулонного покрытия с промазкой: битумными составами с заменой 1 слоя</t>
  </si>
  <si>
    <t>100м2</t>
  </si>
  <si>
    <t>май</t>
  </si>
  <si>
    <t>кв.106</t>
  </si>
  <si>
    <t>Очистка канализационной сети: внутренней</t>
  </si>
  <si>
    <t>ростелеком</t>
  </si>
  <si>
    <t>июнь</t>
  </si>
  <si>
    <t>320р</t>
  </si>
  <si>
    <t>549р</t>
  </si>
  <si>
    <t>моющие</t>
  </si>
  <si>
    <t>3000р</t>
  </si>
  <si>
    <t>прочистка канализации</t>
  </si>
  <si>
    <t>3918р</t>
  </si>
  <si>
    <t>вывоз мусора</t>
  </si>
  <si>
    <t>отмостка</t>
  </si>
  <si>
    <t>Ремонт гладких фасадов по камню и бетону с земли и лесов: цементным раствором площадью отдельных мест до 5м2 толщиной слоя до 20мм</t>
  </si>
  <si>
    <t>кв.3</t>
  </si>
  <si>
    <t>Сварка металлических конструкций (поручень)</t>
  </si>
  <si>
    <t>100стыков</t>
  </si>
  <si>
    <t>поручень 1 подъезд</t>
  </si>
  <si>
    <t>июль</t>
  </si>
  <si>
    <t>отопление</t>
  </si>
  <si>
    <t>Установка вентилей, задвижек, затворов, клапанов обратных, кранов проходных на трубопроводах из стальных труб диаметром: 32мм</t>
  </si>
  <si>
    <t>1шт</t>
  </si>
  <si>
    <t>отопл.</t>
  </si>
  <si>
    <t>Резка трубопроводов из стальных водогазопроводных неоцинкованных труб диаметром: 25мм</t>
  </si>
  <si>
    <t>Смена пробок радиатора</t>
  </si>
  <si>
    <t>Смена сгонов у трубопроводов диаметром: до 20мм</t>
  </si>
  <si>
    <t>100сгонов</t>
  </si>
  <si>
    <t>Гидравлическое испытание трубопроводов систем отопления, водопровода и горячего водоснабжения диаметром: до 100мм</t>
  </si>
  <si>
    <t>август</t>
  </si>
  <si>
    <t>708р</t>
  </si>
  <si>
    <t>ксерокопирование</t>
  </si>
  <si>
    <t>кв.42-45</t>
  </si>
  <si>
    <t>Прокладка трубопроводов водоснабжения из напорных полиэтиленовых труб низкого давления среднего типа наружным диаметром: 20мм</t>
  </si>
  <si>
    <t>6 п.</t>
  </si>
  <si>
    <t>Установка насосов циркуляционных</t>
  </si>
  <si>
    <t>1 насос</t>
  </si>
  <si>
    <t>сентябрь</t>
  </si>
  <si>
    <t>октябрь</t>
  </si>
  <si>
    <t>кв.45</t>
  </si>
  <si>
    <t>Разборка трубопроводов из чугунных канализационных труб диаметром: 100мм</t>
  </si>
  <si>
    <t>2 вызова</t>
  </si>
  <si>
    <t>2 покоса</t>
  </si>
  <si>
    <t>Выкашивание газонов: газонокосилкой</t>
  </si>
  <si>
    <t>отмостка и цоколь</t>
  </si>
  <si>
    <t>Бетонирование (с помощью бадьи) конструкций: наружных стен толщиной до 10 см</t>
  </si>
  <si>
    <t>10м2</t>
  </si>
  <si>
    <t>Прокладка трубопроводов канализации из полиэтиленовых труб высокой плотности диаметром: 50мм</t>
  </si>
  <si>
    <t>кв.72 канализация</t>
  </si>
  <si>
    <t>Разборка трубопроводов из чугунных канализационных труб диаметром: 50мм</t>
  </si>
  <si>
    <t>кв.56</t>
  </si>
  <si>
    <t>кв.28,118</t>
  </si>
  <si>
    <t>Смена обделок из листовой стали, примыканий: к каменным стенам</t>
  </si>
  <si>
    <t>100м</t>
  </si>
  <si>
    <t>ноябрь</t>
  </si>
  <si>
    <t>1 вызов</t>
  </si>
  <si>
    <t>1 и 2 подъезд</t>
  </si>
  <si>
    <t>Установка вентилей, задвижек, затворов, клапанов обратных, кранов проходных на трубопроводах из стальных труб диаметром: до 25мм</t>
  </si>
  <si>
    <t>кв.56 г/в</t>
  </si>
  <si>
    <t>Сварка резьб, стыков свищей на металлических трубах</t>
  </si>
  <si>
    <t xml:space="preserve">декабрь </t>
  </si>
  <si>
    <t>декабрь</t>
  </si>
  <si>
    <t>3800р</t>
  </si>
  <si>
    <t>дезинсекция</t>
  </si>
  <si>
    <t>7065р</t>
  </si>
  <si>
    <t>кв.70</t>
  </si>
  <si>
    <t>кв.118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</si>
</sst>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00_р_."/>
    <numFmt numFmtId="166" formatCode="#,##0.0_р_."/>
    <numFmt numFmtId="167" formatCode="#,##0_р_."/>
    <numFmt numFmtId="168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5B1D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2" fontId="3" fillId="0" borderId="2" xfId="0" applyNumberFormat="1" applyFont="1" applyBorder="1"/>
    <xf numFmtId="2" fontId="3" fillId="0" borderId="3" xfId="0" applyNumberFormat="1" applyFont="1" applyBorder="1" applyAlignment="1"/>
    <xf numFmtId="2" fontId="3" fillId="0" borderId="2" xfId="0" applyNumberFormat="1" applyFont="1" applyBorder="1" applyAlignment="1">
      <alignment horizontal="center"/>
    </xf>
    <xf numFmtId="0" fontId="3" fillId="0" borderId="6" xfId="0" applyFont="1" applyBorder="1"/>
    <xf numFmtId="2" fontId="3" fillId="0" borderId="6" xfId="0" applyNumberFormat="1" applyFont="1" applyBorder="1"/>
    <xf numFmtId="2" fontId="3" fillId="0" borderId="2" xfId="0" applyNumberFormat="1" applyFont="1" applyFill="1" applyBorder="1"/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2" fontId="3" fillId="0" borderId="1" xfId="0" applyNumberFormat="1" applyFont="1" applyBorder="1"/>
    <xf numFmtId="164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4" borderId="10" xfId="0" applyNumberFormat="1" applyFont="1" applyFill="1" applyBorder="1"/>
    <xf numFmtId="0" fontId="0" fillId="0" borderId="1" xfId="0" applyBorder="1"/>
    <xf numFmtId="0" fontId="0" fillId="5" borderId="0" xfId="0" applyFill="1"/>
    <xf numFmtId="2" fontId="0" fillId="0" borderId="1" xfId="0" applyNumberFormat="1" applyBorder="1" applyAlignment="1"/>
    <xf numFmtId="0" fontId="0" fillId="0" borderId="1" xfId="0" applyBorder="1" applyAlignment="1">
      <alignment wrapText="1"/>
    </xf>
    <xf numFmtId="2" fontId="4" fillId="0" borderId="1" xfId="0" applyNumberFormat="1" applyFont="1" applyBorder="1" applyAlignment="1"/>
    <xf numFmtId="164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0" fillId="0" borderId="2" xfId="0" applyBorder="1"/>
    <xf numFmtId="164" fontId="0" fillId="0" borderId="2" xfId="0" applyNumberFormat="1" applyBorder="1" applyAlignment="1">
      <alignment horizontal="right"/>
    </xf>
    <xf numFmtId="0" fontId="4" fillId="6" borderId="1" xfId="0" applyNumberFormat="1" applyFont="1" applyFill="1" applyBorder="1" applyAlignment="1">
      <alignment horizontal="left"/>
    </xf>
    <xf numFmtId="2" fontId="4" fillId="6" borderId="3" xfId="0" applyNumberFormat="1" applyFont="1" applyFill="1" applyBorder="1" applyAlignment="1"/>
    <xf numFmtId="2" fontId="4" fillId="6" borderId="4" xfId="0" applyNumberFormat="1" applyFont="1" applyFill="1" applyBorder="1" applyAlignment="1"/>
    <xf numFmtId="0" fontId="4" fillId="7" borderId="5" xfId="0" applyFont="1" applyFill="1" applyBorder="1"/>
    <xf numFmtId="4" fontId="0" fillId="0" borderId="0" xfId="0" applyNumberFormat="1"/>
    <xf numFmtId="0" fontId="7" fillId="4" borderId="1" xfId="0" applyFont="1" applyFill="1" applyBorder="1"/>
    <xf numFmtId="0" fontId="7" fillId="0" borderId="1" xfId="0" applyFont="1" applyBorder="1"/>
    <xf numFmtId="2" fontId="8" fillId="0" borderId="1" xfId="0" applyNumberFormat="1" applyFont="1" applyBorder="1" applyAlignment="1"/>
    <xf numFmtId="0" fontId="3" fillId="8" borderId="1" xfId="0" applyFont="1" applyFill="1" applyBorder="1"/>
    <xf numFmtId="0" fontId="4" fillId="9" borderId="1" xfId="0" applyNumberFormat="1" applyFont="1" applyFill="1" applyBorder="1" applyAlignment="1">
      <alignment horizontal="left"/>
    </xf>
    <xf numFmtId="2" fontId="4" fillId="9" borderId="3" xfId="0" applyNumberFormat="1" applyFont="1" applyFill="1" applyBorder="1" applyAlignment="1"/>
    <xf numFmtId="2" fontId="4" fillId="9" borderId="4" xfId="0" applyNumberFormat="1" applyFont="1" applyFill="1" applyBorder="1" applyAlignment="1"/>
    <xf numFmtId="0" fontId="4" fillId="9" borderId="5" xfId="0" applyFont="1" applyFill="1" applyBorder="1"/>
    <xf numFmtId="2" fontId="0" fillId="0" borderId="1" xfId="0" applyNumberFormat="1" applyBorder="1" applyAlignment="1">
      <alignment horizontal="left"/>
    </xf>
    <xf numFmtId="165" fontId="0" fillId="0" borderId="2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6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4" fillId="10" borderId="1" xfId="0" applyNumberFormat="1" applyFont="1" applyFill="1" applyBorder="1" applyAlignment="1">
      <alignment horizontal="left"/>
    </xf>
    <xf numFmtId="2" fontId="4" fillId="10" borderId="3" xfId="0" applyNumberFormat="1" applyFont="1" applyFill="1" applyBorder="1" applyAlignment="1"/>
    <xf numFmtId="2" fontId="4" fillId="10" borderId="4" xfId="0" applyNumberFormat="1" applyFont="1" applyFill="1" applyBorder="1" applyAlignment="1"/>
    <xf numFmtId="0" fontId="4" fillId="10" borderId="5" xfId="0" applyFont="1" applyFill="1" applyBorder="1"/>
    <xf numFmtId="0" fontId="3" fillId="11" borderId="1" xfId="0" applyFont="1" applyFill="1" applyBorder="1"/>
    <xf numFmtId="0" fontId="4" fillId="12" borderId="1" xfId="0" applyNumberFormat="1" applyFont="1" applyFill="1" applyBorder="1" applyAlignment="1">
      <alignment horizontal="left"/>
    </xf>
    <xf numFmtId="2" fontId="4" fillId="12" borderId="3" xfId="0" applyNumberFormat="1" applyFont="1" applyFill="1" applyBorder="1" applyAlignment="1"/>
    <xf numFmtId="2" fontId="4" fillId="12" borderId="4" xfId="0" applyNumberFormat="1" applyFont="1" applyFill="1" applyBorder="1" applyAlignment="1"/>
    <xf numFmtId="0" fontId="4" fillId="12" borderId="5" xfId="0" applyFont="1" applyFill="1" applyBorder="1"/>
    <xf numFmtId="164" fontId="0" fillId="0" borderId="2" xfId="0" applyNumberForma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0" fontId="4" fillId="8" borderId="1" xfId="0" applyNumberFormat="1" applyFont="1" applyFill="1" applyBorder="1" applyAlignment="1">
      <alignment horizontal="left"/>
    </xf>
    <xf numFmtId="2" fontId="4" fillId="8" borderId="3" xfId="0" applyNumberFormat="1" applyFont="1" applyFill="1" applyBorder="1" applyAlignment="1"/>
    <xf numFmtId="2" fontId="4" fillId="8" borderId="4" xfId="0" applyNumberFormat="1" applyFont="1" applyFill="1" applyBorder="1" applyAlignment="1"/>
    <xf numFmtId="0" fontId="4" fillId="8" borderId="5" xfId="0" applyFont="1" applyFill="1" applyBorder="1"/>
    <xf numFmtId="167" fontId="0" fillId="0" borderId="2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0" fontId="4" fillId="13" borderId="1" xfId="0" applyNumberFormat="1" applyFont="1" applyFill="1" applyBorder="1" applyAlignment="1">
      <alignment horizontal="left"/>
    </xf>
    <xf numFmtId="2" fontId="4" fillId="13" borderId="3" xfId="0" applyNumberFormat="1" applyFont="1" applyFill="1" applyBorder="1" applyAlignment="1"/>
    <xf numFmtId="2" fontId="4" fillId="13" borderId="4" xfId="0" applyNumberFormat="1" applyFont="1" applyFill="1" applyBorder="1" applyAlignment="1"/>
    <xf numFmtId="0" fontId="4" fillId="13" borderId="5" xfId="0" applyFont="1" applyFill="1" applyBorder="1"/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0" fontId="4" fillId="14" borderId="1" xfId="0" applyNumberFormat="1" applyFont="1" applyFill="1" applyBorder="1" applyAlignment="1">
      <alignment horizontal="left"/>
    </xf>
    <xf numFmtId="2" fontId="4" fillId="14" borderId="3" xfId="0" applyNumberFormat="1" applyFont="1" applyFill="1" applyBorder="1" applyAlignment="1"/>
    <xf numFmtId="2" fontId="4" fillId="14" borderId="4" xfId="0" applyNumberFormat="1" applyFont="1" applyFill="1" applyBorder="1" applyAlignment="1"/>
    <xf numFmtId="168" fontId="4" fillId="14" borderId="5" xfId="0" applyNumberFormat="1" applyFont="1" applyFill="1" applyBorder="1"/>
    <xf numFmtId="165" fontId="0" fillId="0" borderId="1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166" fontId="0" fillId="0" borderId="1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0" fontId="4" fillId="15" borderId="1" xfId="0" applyNumberFormat="1" applyFont="1" applyFill="1" applyBorder="1" applyAlignment="1">
      <alignment horizontal="left"/>
    </xf>
    <xf numFmtId="2" fontId="4" fillId="15" borderId="3" xfId="0" applyNumberFormat="1" applyFont="1" applyFill="1" applyBorder="1" applyAlignment="1"/>
    <xf numFmtId="2" fontId="4" fillId="15" borderId="4" xfId="0" applyNumberFormat="1" applyFont="1" applyFill="1" applyBorder="1" applyAlignment="1"/>
    <xf numFmtId="168" fontId="4" fillId="15" borderId="5" xfId="0" applyNumberFormat="1" applyFont="1" applyFill="1" applyBorder="1"/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0" fontId="4" fillId="16" borderId="1" xfId="0" applyNumberFormat="1" applyFont="1" applyFill="1" applyBorder="1" applyAlignment="1">
      <alignment horizontal="left"/>
    </xf>
    <xf numFmtId="2" fontId="4" fillId="16" borderId="3" xfId="0" applyNumberFormat="1" applyFont="1" applyFill="1" applyBorder="1" applyAlignment="1"/>
    <xf numFmtId="2" fontId="4" fillId="16" borderId="4" xfId="0" applyNumberFormat="1" applyFont="1" applyFill="1" applyBorder="1" applyAlignment="1"/>
    <xf numFmtId="168" fontId="4" fillId="16" borderId="5" xfId="0" applyNumberFormat="1" applyFont="1" applyFill="1" applyBorder="1"/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0" fontId="4" fillId="17" borderId="1" xfId="0" applyNumberFormat="1" applyFont="1" applyFill="1" applyBorder="1" applyAlignment="1">
      <alignment horizontal="left"/>
    </xf>
    <xf numFmtId="2" fontId="4" fillId="17" borderId="3" xfId="0" applyNumberFormat="1" applyFont="1" applyFill="1" applyBorder="1" applyAlignment="1"/>
    <xf numFmtId="2" fontId="4" fillId="17" borderId="4" xfId="0" applyNumberFormat="1" applyFont="1" applyFill="1" applyBorder="1" applyAlignment="1"/>
    <xf numFmtId="168" fontId="4" fillId="17" borderId="5" xfId="0" applyNumberFormat="1" applyFont="1" applyFill="1" applyBorder="1"/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164" fontId="9" fillId="4" borderId="1" xfId="0" applyNumberFormat="1" applyFont="1" applyFill="1" applyBorder="1"/>
    <xf numFmtId="2" fontId="9" fillId="4" borderId="1" xfId="0" applyNumberFormat="1" applyFont="1" applyFill="1" applyBorder="1"/>
    <xf numFmtId="2" fontId="9" fillId="0" borderId="1" xfId="0" applyNumberFormat="1" applyFont="1" applyBorder="1"/>
    <xf numFmtId="2" fontId="0" fillId="0" borderId="1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2" fontId="0" fillId="0" borderId="5" xfId="0" applyNumberForma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2" fontId="0" fillId="0" borderId="3" xfId="0" applyNumberFormat="1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left" wrapText="1"/>
    </xf>
    <xf numFmtId="2" fontId="1" fillId="0" borderId="4" xfId="0" applyNumberFormat="1" applyFont="1" applyBorder="1" applyAlignment="1">
      <alignment horizontal="left" wrapText="1"/>
    </xf>
    <xf numFmtId="2" fontId="1" fillId="0" borderId="5" xfId="0" applyNumberFormat="1" applyFont="1" applyBorder="1" applyAlignment="1">
      <alignment horizontal="left" wrapText="1"/>
    </xf>
    <xf numFmtId="2" fontId="0" fillId="0" borderId="1" xfId="0" applyNumberFormat="1" applyBorder="1" applyAlignment="1">
      <alignment horizontal="left" wrapText="1"/>
    </xf>
    <xf numFmtId="2" fontId="0" fillId="0" borderId="3" xfId="0" applyNumberFormat="1" applyBorder="1" applyAlignment="1">
      <alignment horizontal="left" vertical="top"/>
    </xf>
    <xf numFmtId="2" fontId="0" fillId="0" borderId="4" xfId="0" applyNumberFormat="1" applyBorder="1" applyAlignment="1">
      <alignment horizontal="left" vertical="top"/>
    </xf>
    <xf numFmtId="2" fontId="0" fillId="0" borderId="5" xfId="0" applyNumberForma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Q116"/>
  <sheetViews>
    <sheetView tabSelected="1" zoomScaleNormal="100" workbookViewId="0">
      <selection activeCell="K27" sqref="K27"/>
    </sheetView>
  </sheetViews>
  <sheetFormatPr defaultRowHeight="15" x14ac:dyDescent="0.25"/>
  <cols>
    <col min="1" max="1" width="5.140625" customWidth="1"/>
    <col min="2" max="2" width="0.140625" hidden="1" customWidth="1"/>
    <col min="3" max="3" width="0.7109375" hidden="1" customWidth="1"/>
    <col min="4" max="4" width="10" customWidth="1"/>
    <col min="5" max="5" width="10.140625" customWidth="1"/>
    <col min="6" max="6" width="9.140625" customWidth="1"/>
    <col min="7" max="8" width="10.140625" customWidth="1"/>
    <col min="9" max="9" width="9.85546875" customWidth="1"/>
    <col min="10" max="10" width="10.5703125" customWidth="1"/>
    <col min="11" max="11" width="9.28515625" customWidth="1"/>
    <col min="12" max="12" width="10.7109375" customWidth="1"/>
    <col min="13" max="13" width="9.7109375" customWidth="1"/>
    <col min="14" max="14" width="11" customWidth="1"/>
    <col min="15" max="15" width="10.42578125" customWidth="1"/>
    <col min="16" max="16" width="10" customWidth="1"/>
    <col min="17" max="17" width="6.7109375" customWidth="1"/>
    <col min="18" max="18" width="5.7109375" customWidth="1"/>
  </cols>
  <sheetData>
    <row r="2" spans="1:17" x14ac:dyDescent="0.25">
      <c r="A2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x14ac:dyDescent="0.25">
      <c r="A3" s="139" t="s">
        <v>26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x14ac:dyDescent="0.25">
      <c r="A4" s="3"/>
      <c r="B4" s="4" t="s">
        <v>1</v>
      </c>
      <c r="C4" s="5" t="s">
        <v>2</v>
      </c>
      <c r="D4" s="144" t="s">
        <v>3</v>
      </c>
      <c r="E4" s="145"/>
      <c r="F4" s="146"/>
      <c r="G4" s="5" t="s">
        <v>4</v>
      </c>
      <c r="H4" s="147" t="s">
        <v>5</v>
      </c>
      <c r="I4" s="5" t="s">
        <v>6</v>
      </c>
      <c r="J4" s="6" t="s">
        <v>7</v>
      </c>
      <c r="K4" s="149" t="s">
        <v>8</v>
      </c>
      <c r="L4" s="149"/>
      <c r="M4" s="149"/>
      <c r="N4" s="149"/>
      <c r="O4" s="147" t="s">
        <v>9</v>
      </c>
      <c r="P4" s="7" t="s">
        <v>10</v>
      </c>
      <c r="Q4" s="4" t="s">
        <v>11</v>
      </c>
    </row>
    <row r="5" spans="1:17" ht="15.75" thickBot="1" x14ac:dyDescent="0.3">
      <c r="A5" s="3"/>
      <c r="B5" s="8"/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148"/>
      <c r="I5" s="9" t="s">
        <v>17</v>
      </c>
      <c r="J5" s="10" t="s">
        <v>18</v>
      </c>
      <c r="K5" s="9" t="s">
        <v>19</v>
      </c>
      <c r="L5" s="9" t="s">
        <v>20</v>
      </c>
      <c r="M5" s="9" t="s">
        <v>24</v>
      </c>
      <c r="N5" s="9" t="s">
        <v>21</v>
      </c>
      <c r="O5" s="148"/>
      <c r="P5" s="11" t="s">
        <v>22</v>
      </c>
      <c r="Q5" s="8" t="s">
        <v>23</v>
      </c>
    </row>
    <row r="6" spans="1:17" ht="15.75" thickBot="1" x14ac:dyDescent="0.3">
      <c r="A6" s="3"/>
      <c r="B6" s="8"/>
      <c r="C6" s="9"/>
      <c r="D6" s="9"/>
      <c r="E6" s="12"/>
      <c r="F6" s="13">
        <v>0</v>
      </c>
      <c r="G6" s="14"/>
      <c r="H6" s="11"/>
      <c r="I6" s="9"/>
      <c r="J6" s="10"/>
      <c r="K6" s="9"/>
      <c r="L6" s="9"/>
      <c r="M6" s="9"/>
      <c r="N6" s="9"/>
      <c r="O6" s="11"/>
      <c r="P6" s="15"/>
      <c r="Q6" s="16"/>
    </row>
    <row r="7" spans="1:17" x14ac:dyDescent="0.25">
      <c r="A7" s="3" t="s">
        <v>25</v>
      </c>
      <c r="B7" s="3">
        <v>6583.3</v>
      </c>
      <c r="C7" s="17">
        <v>120</v>
      </c>
      <c r="D7" s="18">
        <f>1700.01+1059.02</f>
        <v>2759.0299999999997</v>
      </c>
      <c r="E7" s="19">
        <f>433.41+270</f>
        <v>703.41000000000008</v>
      </c>
      <c r="F7" s="20">
        <f t="shared" ref="F7:F17" si="0">SUM(D7:E7)</f>
        <v>3462.4399999999996</v>
      </c>
      <c r="G7" s="21">
        <f t="shared" ref="G7:G17" si="1">SUM(F7*0.03)</f>
        <v>103.87319999999998</v>
      </c>
      <c r="H7" s="21">
        <f t="shared" ref="H7:H19" si="2">SUM(F7*0.06)</f>
        <v>207.74639999999997</v>
      </c>
      <c r="I7" s="22">
        <v>18043</v>
      </c>
      <c r="J7" s="23">
        <v>1372</v>
      </c>
      <c r="K7" s="23">
        <f>SUM(B7*1.07)</f>
        <v>7044.1310000000003</v>
      </c>
      <c r="L7" s="23">
        <f>8280+643</f>
        <v>8923</v>
      </c>
      <c r="M7" s="23">
        <v>2400</v>
      </c>
      <c r="N7" s="23">
        <f t="shared" ref="N7:N19" si="3">SUM(F7*0.15)</f>
        <v>519.36599999999987</v>
      </c>
      <c r="O7" s="24">
        <f t="shared" ref="O7:O19" si="4">SUM(G7:N7)</f>
        <v>38613.116600000001</v>
      </c>
      <c r="P7" s="25">
        <f t="shared" ref="P7:P19" si="5">SUM(F7-O7)</f>
        <v>-35150.676599999999</v>
      </c>
      <c r="Q7" s="26">
        <v>0</v>
      </c>
    </row>
    <row r="8" spans="1:17" x14ac:dyDescent="0.25">
      <c r="A8" s="3" t="s">
        <v>42</v>
      </c>
      <c r="B8" s="3"/>
      <c r="C8" s="17"/>
      <c r="D8" s="18">
        <f>24361.1+22507.67+4459.04</f>
        <v>51327.81</v>
      </c>
      <c r="E8" s="19">
        <f>6330.17+5738.3+1136.83</f>
        <v>13205.300000000001</v>
      </c>
      <c r="F8" s="20">
        <f t="shared" si="0"/>
        <v>64533.11</v>
      </c>
      <c r="G8" s="21">
        <f t="shared" si="1"/>
        <v>1935.9932999999999</v>
      </c>
      <c r="H8" s="21">
        <f t="shared" si="2"/>
        <v>3871.9865999999997</v>
      </c>
      <c r="I8" s="22">
        <f>18043+690</f>
        <v>18733</v>
      </c>
      <c r="J8" s="23">
        <f>1505+2269+376</f>
        <v>4150</v>
      </c>
      <c r="K8" s="23">
        <v>7044.13</v>
      </c>
      <c r="L8" s="23">
        <f>8280+15000</f>
        <v>23280</v>
      </c>
      <c r="M8" s="23">
        <v>2400</v>
      </c>
      <c r="N8" s="23">
        <f t="shared" si="3"/>
        <v>9679.9665000000005</v>
      </c>
      <c r="O8" s="24">
        <f t="shared" si="4"/>
        <v>71095.076399999991</v>
      </c>
      <c r="P8" s="25">
        <f t="shared" si="5"/>
        <v>-6561.9663999999902</v>
      </c>
      <c r="Q8" s="26">
        <v>0</v>
      </c>
    </row>
    <row r="9" spans="1:17" x14ac:dyDescent="0.25">
      <c r="A9" s="3" t="s">
        <v>52</v>
      </c>
      <c r="B9" s="3"/>
      <c r="C9" s="17"/>
      <c r="D9" s="18">
        <f>28327.68+1412.68+20486.67+9768.58</f>
        <v>59995.61</v>
      </c>
      <c r="E9" s="19">
        <f>6956.36+360.16+5364.49+2490.47</f>
        <v>15171.479999999998</v>
      </c>
      <c r="F9" s="20">
        <f t="shared" si="0"/>
        <v>75167.09</v>
      </c>
      <c r="G9" s="21">
        <f t="shared" si="1"/>
        <v>2255.0126999999998</v>
      </c>
      <c r="H9" s="21">
        <f t="shared" si="2"/>
        <v>4510.0253999999995</v>
      </c>
      <c r="I9" s="22">
        <v>18043</v>
      </c>
      <c r="J9" s="23">
        <f>99161+376+5403+2182</f>
        <v>107122</v>
      </c>
      <c r="K9" s="23">
        <v>7044.13</v>
      </c>
      <c r="L9" s="23">
        <f>8280+320</f>
        <v>8600</v>
      </c>
      <c r="M9" s="23">
        <v>2400</v>
      </c>
      <c r="N9" s="23">
        <f t="shared" si="3"/>
        <v>11275.063499999998</v>
      </c>
      <c r="O9" s="24">
        <f t="shared" si="4"/>
        <v>161249.2316</v>
      </c>
      <c r="P9" s="25">
        <f t="shared" si="5"/>
        <v>-86082.141600000003</v>
      </c>
      <c r="Q9" s="26">
        <v>0</v>
      </c>
    </row>
    <row r="10" spans="1:17" x14ac:dyDescent="0.25">
      <c r="A10" s="3" t="s">
        <v>64</v>
      </c>
      <c r="B10" s="3"/>
      <c r="C10" s="17"/>
      <c r="D10" s="18">
        <f>28680.03+458.4+19392.15+11707.83</f>
        <v>60238.41</v>
      </c>
      <c r="E10" s="19">
        <f>7457.87+116.87+5070.48+3268.18</f>
        <v>15913.4</v>
      </c>
      <c r="F10" s="20">
        <f t="shared" si="0"/>
        <v>76151.81</v>
      </c>
      <c r="G10" s="21">
        <f t="shared" si="1"/>
        <v>2284.5542999999998</v>
      </c>
      <c r="H10" s="21">
        <f t="shared" si="2"/>
        <v>4569.1085999999996</v>
      </c>
      <c r="I10" s="22">
        <v>18043</v>
      </c>
      <c r="J10" s="23">
        <v>776</v>
      </c>
      <c r="K10" s="23">
        <v>7044.13</v>
      </c>
      <c r="L10" s="23">
        <v>8280</v>
      </c>
      <c r="M10" s="23">
        <v>0</v>
      </c>
      <c r="N10" s="23">
        <f t="shared" si="3"/>
        <v>11422.771499999999</v>
      </c>
      <c r="O10" s="24">
        <f t="shared" si="4"/>
        <v>52419.564400000003</v>
      </c>
      <c r="P10" s="25">
        <f t="shared" si="5"/>
        <v>23732.245599999995</v>
      </c>
      <c r="Q10" s="26">
        <v>0</v>
      </c>
    </row>
    <row r="11" spans="1:17" x14ac:dyDescent="0.25">
      <c r="A11" s="3" t="s">
        <v>68</v>
      </c>
      <c r="B11" s="3"/>
      <c r="C11" s="17"/>
      <c r="D11" s="18">
        <f>28702.15+458.4+17865.08+11647.36</f>
        <v>58672.990000000005</v>
      </c>
      <c r="E11" s="19">
        <f>7317.72+116.87+4428.29+2969.46</f>
        <v>14832.34</v>
      </c>
      <c r="F11" s="20">
        <f t="shared" si="0"/>
        <v>73505.33</v>
      </c>
      <c r="G11" s="21">
        <f t="shared" si="1"/>
        <v>2205.1599000000001</v>
      </c>
      <c r="H11" s="21">
        <f t="shared" si="2"/>
        <v>4410.3198000000002</v>
      </c>
      <c r="I11" s="22">
        <v>18043</v>
      </c>
      <c r="J11" s="23">
        <f>1213+776+1272</f>
        <v>3261</v>
      </c>
      <c r="K11" s="23">
        <v>7044.13</v>
      </c>
      <c r="L11" s="23">
        <f>8280+549+3000+3918</f>
        <v>15747</v>
      </c>
      <c r="M11" s="23">
        <v>0</v>
      </c>
      <c r="N11" s="23">
        <f t="shared" si="3"/>
        <v>11025.799499999999</v>
      </c>
      <c r="O11" s="24">
        <f t="shared" si="4"/>
        <v>61736.409200000002</v>
      </c>
      <c r="P11" s="25">
        <f t="shared" si="5"/>
        <v>11768.9208</v>
      </c>
      <c r="Q11" s="26">
        <v>0</v>
      </c>
    </row>
    <row r="12" spans="1:17" x14ac:dyDescent="0.25">
      <c r="A12" s="3" t="s">
        <v>82</v>
      </c>
      <c r="B12" s="3"/>
      <c r="C12" s="17"/>
      <c r="D12" s="18">
        <f>30706.8+916.8+21226.67+9267.49</f>
        <v>62117.759999999995</v>
      </c>
      <c r="E12" s="19">
        <f>7828.59+233.74+5269.17+2440.63</f>
        <v>15772.130000000001</v>
      </c>
      <c r="F12" s="20">
        <f t="shared" si="0"/>
        <v>77889.89</v>
      </c>
      <c r="G12" s="21">
        <f t="shared" si="1"/>
        <v>2336.6967</v>
      </c>
      <c r="H12" s="21">
        <f t="shared" si="2"/>
        <v>4673.3933999999999</v>
      </c>
      <c r="I12" s="22">
        <v>18043</v>
      </c>
      <c r="J12" s="23">
        <f>2313+955+27614</f>
        <v>30882</v>
      </c>
      <c r="K12" s="23">
        <v>7044.13</v>
      </c>
      <c r="L12" s="23">
        <v>8280</v>
      </c>
      <c r="M12" s="23">
        <v>0</v>
      </c>
      <c r="N12" s="23">
        <f t="shared" si="3"/>
        <v>11683.4835</v>
      </c>
      <c r="O12" s="24">
        <f t="shared" si="4"/>
        <v>82942.703600000008</v>
      </c>
      <c r="P12" s="25">
        <f t="shared" si="5"/>
        <v>-5052.8136000000086</v>
      </c>
      <c r="Q12" s="26">
        <v>0</v>
      </c>
    </row>
    <row r="13" spans="1:17" x14ac:dyDescent="0.25">
      <c r="A13" s="3" t="s">
        <v>92</v>
      </c>
      <c r="B13" s="3"/>
      <c r="C13" s="17"/>
      <c r="D13" s="18">
        <f>44877.36+10877.57+2150.1</f>
        <v>57905.03</v>
      </c>
      <c r="E13" s="19">
        <f>11697.8+2825.4+803.36</f>
        <v>15326.56</v>
      </c>
      <c r="F13" s="20">
        <f t="shared" si="0"/>
        <v>73231.59</v>
      </c>
      <c r="G13" s="21">
        <f t="shared" si="1"/>
        <v>2196.9476999999997</v>
      </c>
      <c r="H13" s="21">
        <f t="shared" si="2"/>
        <v>4393.8953999999994</v>
      </c>
      <c r="I13" s="22">
        <v>18043</v>
      </c>
      <c r="J13" s="23">
        <f>4343+802+6341</f>
        <v>11486</v>
      </c>
      <c r="K13" s="23">
        <v>7044.13</v>
      </c>
      <c r="L13" s="23">
        <f>8280+708</f>
        <v>8988</v>
      </c>
      <c r="M13" s="23">
        <v>0</v>
      </c>
      <c r="N13" s="23">
        <f t="shared" si="3"/>
        <v>10984.738499999999</v>
      </c>
      <c r="O13" s="24">
        <f t="shared" si="4"/>
        <v>63136.711599999995</v>
      </c>
      <c r="P13" s="25">
        <f t="shared" si="5"/>
        <v>10094.878400000001</v>
      </c>
      <c r="Q13" s="26">
        <v>0</v>
      </c>
    </row>
    <row r="14" spans="1:17" x14ac:dyDescent="0.25">
      <c r="A14" s="3" t="s">
        <v>100</v>
      </c>
      <c r="B14" s="3"/>
      <c r="C14" s="17"/>
      <c r="D14" s="18">
        <f>49755.86+10428.25+2707.16</f>
        <v>62891.270000000004</v>
      </c>
      <c r="E14" s="19">
        <f>12378.04+2368.45+690.19</f>
        <v>15436.680000000002</v>
      </c>
      <c r="F14" s="20">
        <f t="shared" si="0"/>
        <v>78327.950000000012</v>
      </c>
      <c r="G14" s="21">
        <f t="shared" si="1"/>
        <v>2349.8385000000003</v>
      </c>
      <c r="H14" s="21">
        <f t="shared" si="2"/>
        <v>4699.6770000000006</v>
      </c>
      <c r="I14" s="22">
        <v>18043</v>
      </c>
      <c r="J14" s="23">
        <f>4290+1605+8524</f>
        <v>14419</v>
      </c>
      <c r="K14" s="23">
        <v>7044.13</v>
      </c>
      <c r="L14" s="23">
        <f>8280+3800</f>
        <v>12080</v>
      </c>
      <c r="M14" s="23">
        <v>0</v>
      </c>
      <c r="N14" s="23">
        <f t="shared" si="3"/>
        <v>11749.192500000001</v>
      </c>
      <c r="O14" s="24">
        <f t="shared" si="4"/>
        <v>70384.838000000003</v>
      </c>
      <c r="P14" s="25">
        <f t="shared" si="5"/>
        <v>7943.1120000000083</v>
      </c>
      <c r="Q14" s="26">
        <v>0</v>
      </c>
    </row>
    <row r="15" spans="1:17" x14ac:dyDescent="0.25">
      <c r="A15" s="3" t="s">
        <v>101</v>
      </c>
      <c r="B15" s="3"/>
      <c r="C15" s="17"/>
      <c r="D15" s="18">
        <f>52696.13+6372.39+1586.62</f>
        <v>60655.14</v>
      </c>
      <c r="E15" s="19">
        <f>13318.71+1624.62+404.51</f>
        <v>15347.839999999998</v>
      </c>
      <c r="F15" s="20">
        <f t="shared" si="0"/>
        <v>76002.98</v>
      </c>
      <c r="G15" s="21">
        <f t="shared" si="1"/>
        <v>2280.0893999999998</v>
      </c>
      <c r="H15" s="21">
        <f t="shared" si="2"/>
        <v>4560.1787999999997</v>
      </c>
      <c r="I15" s="22">
        <v>18043</v>
      </c>
      <c r="J15" s="23">
        <f>29462+1778+120+9994</f>
        <v>41354</v>
      </c>
      <c r="K15" s="23">
        <v>7044.13</v>
      </c>
      <c r="L15" s="23">
        <v>8280</v>
      </c>
      <c r="M15" s="23">
        <v>2400</v>
      </c>
      <c r="N15" s="23">
        <f t="shared" si="3"/>
        <v>11400.446999999998</v>
      </c>
      <c r="O15" s="24">
        <f t="shared" si="4"/>
        <v>95361.845199999996</v>
      </c>
      <c r="P15" s="25">
        <f t="shared" si="5"/>
        <v>-19358.8652</v>
      </c>
      <c r="Q15" s="26">
        <v>0</v>
      </c>
    </row>
    <row r="16" spans="1:17" x14ac:dyDescent="0.25">
      <c r="A16" s="3" t="s">
        <v>117</v>
      </c>
      <c r="B16" s="3"/>
      <c r="C16" s="17"/>
      <c r="D16" s="18">
        <f>54747.39+3979.5+458.4</f>
        <v>59185.29</v>
      </c>
      <c r="E16" s="19">
        <f>13839.2+1014.56+116.87</f>
        <v>14970.630000000001</v>
      </c>
      <c r="F16" s="20">
        <f t="shared" si="0"/>
        <v>74155.92</v>
      </c>
      <c r="G16" s="21">
        <f t="shared" si="1"/>
        <v>2224.6776</v>
      </c>
      <c r="H16" s="21">
        <f t="shared" si="2"/>
        <v>4449.3552</v>
      </c>
      <c r="I16" s="22">
        <v>18043</v>
      </c>
      <c r="J16" s="23">
        <f>832+50812+978</f>
        <v>52622</v>
      </c>
      <c r="K16" s="23">
        <v>7044.13</v>
      </c>
      <c r="L16" s="23">
        <v>8280</v>
      </c>
      <c r="M16" s="23">
        <v>2400</v>
      </c>
      <c r="N16" s="23">
        <f t="shared" si="3"/>
        <v>11123.387999999999</v>
      </c>
      <c r="O16" s="24">
        <f t="shared" si="4"/>
        <v>106186.5508</v>
      </c>
      <c r="P16" s="25">
        <f t="shared" si="5"/>
        <v>-32030.630799999999</v>
      </c>
      <c r="Q16" s="26">
        <v>0</v>
      </c>
    </row>
    <row r="17" spans="1:17" x14ac:dyDescent="0.25">
      <c r="A17" s="3" t="s">
        <v>123</v>
      </c>
      <c r="B17" s="3"/>
      <c r="C17" s="17"/>
      <c r="D17" s="18">
        <f>60653.9+7297+1552.37</f>
        <v>69503.26999999999</v>
      </c>
      <c r="E17" s="19">
        <f>14743.48+1860.08+126.42</f>
        <v>16729.979999999996</v>
      </c>
      <c r="F17" s="20">
        <f t="shared" si="0"/>
        <v>86233.249999999985</v>
      </c>
      <c r="G17" s="21">
        <f t="shared" si="1"/>
        <v>2586.9974999999995</v>
      </c>
      <c r="H17" s="21">
        <f t="shared" si="2"/>
        <v>5173.994999999999</v>
      </c>
      <c r="I17" s="22">
        <v>18043</v>
      </c>
      <c r="J17" s="23">
        <f>15669+2415+2958</f>
        <v>21042</v>
      </c>
      <c r="K17" s="23">
        <v>7044.13</v>
      </c>
      <c r="L17" s="23">
        <f>8280+7065</f>
        <v>15345</v>
      </c>
      <c r="M17" s="23">
        <v>2400</v>
      </c>
      <c r="N17" s="23">
        <f t="shared" si="3"/>
        <v>12934.987499999997</v>
      </c>
      <c r="O17" s="24">
        <f t="shared" si="4"/>
        <v>84570.11</v>
      </c>
      <c r="P17" s="25">
        <f t="shared" si="5"/>
        <v>1663.1399999999849</v>
      </c>
      <c r="Q17" s="26">
        <v>0</v>
      </c>
    </row>
    <row r="18" spans="1:17" x14ac:dyDescent="0.25">
      <c r="A18" s="44" t="s">
        <v>49</v>
      </c>
      <c r="B18" s="3"/>
      <c r="C18" s="17"/>
      <c r="D18" s="18">
        <f>2500+3750+3750+3750</f>
        <v>13750</v>
      </c>
      <c r="E18" s="19">
        <v>0</v>
      </c>
      <c r="F18" s="20">
        <f>D18+E18</f>
        <v>13750</v>
      </c>
      <c r="G18" s="21">
        <v>0</v>
      </c>
      <c r="H18" s="21">
        <f t="shared" si="2"/>
        <v>825</v>
      </c>
      <c r="I18" s="22">
        <v>0</v>
      </c>
      <c r="J18" s="23">
        <v>0</v>
      </c>
      <c r="K18" s="23">
        <v>0</v>
      </c>
      <c r="L18" s="23">
        <v>0</v>
      </c>
      <c r="M18" s="23">
        <v>0</v>
      </c>
      <c r="N18" s="23">
        <f t="shared" si="3"/>
        <v>2062.5</v>
      </c>
      <c r="O18" s="24">
        <f t="shared" si="4"/>
        <v>2887.5</v>
      </c>
      <c r="P18" s="25">
        <f t="shared" si="5"/>
        <v>10862.5</v>
      </c>
      <c r="Q18" s="26">
        <v>0</v>
      </c>
    </row>
    <row r="19" spans="1:17" x14ac:dyDescent="0.25">
      <c r="A19" s="58" t="s">
        <v>67</v>
      </c>
      <c r="B19" s="3"/>
      <c r="C19" s="17"/>
      <c r="D19" s="18">
        <f>1200+1800+1800+1800</f>
        <v>6600</v>
      </c>
      <c r="E19" s="19">
        <v>0</v>
      </c>
      <c r="F19" s="20">
        <f>D19+E19</f>
        <v>6600</v>
      </c>
      <c r="G19" s="21">
        <v>0</v>
      </c>
      <c r="H19" s="21">
        <f t="shared" si="2"/>
        <v>396</v>
      </c>
      <c r="I19" s="22">
        <v>0</v>
      </c>
      <c r="J19" s="23">
        <v>0</v>
      </c>
      <c r="K19" s="23">
        <v>0</v>
      </c>
      <c r="L19" s="23">
        <v>0</v>
      </c>
      <c r="M19" s="23">
        <v>0</v>
      </c>
      <c r="N19" s="23">
        <f t="shared" si="3"/>
        <v>990</v>
      </c>
      <c r="O19" s="24">
        <f t="shared" si="4"/>
        <v>1386</v>
      </c>
      <c r="P19" s="25">
        <f t="shared" si="5"/>
        <v>5214</v>
      </c>
      <c r="Q19" s="26">
        <v>0</v>
      </c>
    </row>
    <row r="20" spans="1:17" x14ac:dyDescent="0.25">
      <c r="A20" s="41" t="s">
        <v>15</v>
      </c>
      <c r="B20" s="41"/>
      <c r="C20" s="41"/>
      <c r="D20" s="132">
        <f>SUM(D7:D19)</f>
        <v>625601.6100000001</v>
      </c>
      <c r="E20" s="132">
        <f>SUM(E7:E19)</f>
        <v>153409.75</v>
      </c>
      <c r="F20" s="133">
        <f>SUM(F6:F19)</f>
        <v>779011.3600000001</v>
      </c>
      <c r="G20" s="132">
        <f t="shared" ref="G20:O20" si="6">SUM(G7:G19)</f>
        <v>22759.840799999998</v>
      </c>
      <c r="H20" s="132">
        <f t="shared" si="6"/>
        <v>46740.681599999996</v>
      </c>
      <c r="I20" s="132">
        <f t="shared" si="6"/>
        <v>199163</v>
      </c>
      <c r="J20" s="132">
        <f t="shared" si="6"/>
        <v>288486</v>
      </c>
      <c r="K20" s="132">
        <f t="shared" si="6"/>
        <v>77485.430999999997</v>
      </c>
      <c r="L20" s="132">
        <f t="shared" si="6"/>
        <v>126083</v>
      </c>
      <c r="M20" s="132">
        <f t="shared" si="6"/>
        <v>14400</v>
      </c>
      <c r="N20" s="132">
        <f t="shared" si="6"/>
        <v>116851.70400000001</v>
      </c>
      <c r="O20" s="132">
        <f t="shared" si="6"/>
        <v>891969.65740000003</v>
      </c>
      <c r="P20" s="134">
        <f>F20-O20</f>
        <v>-112958.29739999992</v>
      </c>
      <c r="Q20" s="42">
        <v>0</v>
      </c>
    </row>
    <row r="22" spans="1:17" x14ac:dyDescent="0.25">
      <c r="D22" t="s">
        <v>25</v>
      </c>
      <c r="E22" s="40" t="s">
        <v>41</v>
      </c>
      <c r="F22" t="s">
        <v>38</v>
      </c>
    </row>
    <row r="23" spans="1:17" x14ac:dyDescent="0.25">
      <c r="D23" t="s">
        <v>42</v>
      </c>
      <c r="E23" t="s">
        <v>50</v>
      </c>
      <c r="F23" t="s">
        <v>51</v>
      </c>
    </row>
    <row r="24" spans="1:17" x14ac:dyDescent="0.25">
      <c r="D24" t="s">
        <v>52</v>
      </c>
      <c r="E24" t="s">
        <v>69</v>
      </c>
    </row>
    <row r="25" spans="1:17" x14ac:dyDescent="0.25">
      <c r="D25" t="s">
        <v>68</v>
      </c>
      <c r="E25" t="s">
        <v>70</v>
      </c>
      <c r="F25" t="s">
        <v>71</v>
      </c>
    </row>
    <row r="26" spans="1:17" x14ac:dyDescent="0.25">
      <c r="E26" t="s">
        <v>72</v>
      </c>
      <c r="F26" t="s">
        <v>73</v>
      </c>
    </row>
    <row r="27" spans="1:17" x14ac:dyDescent="0.25">
      <c r="E27" t="s">
        <v>74</v>
      </c>
      <c r="F27" t="s">
        <v>75</v>
      </c>
    </row>
    <row r="28" spans="1:17" x14ac:dyDescent="0.25">
      <c r="D28" t="s">
        <v>92</v>
      </c>
      <c r="E28" t="s">
        <v>93</v>
      </c>
      <c r="F28" t="s">
        <v>94</v>
      </c>
    </row>
    <row r="29" spans="1:17" x14ac:dyDescent="0.25">
      <c r="D29" t="s">
        <v>100</v>
      </c>
      <c r="E29" t="s">
        <v>125</v>
      </c>
      <c r="F29" t="s">
        <v>126</v>
      </c>
    </row>
    <row r="30" spans="1:17" x14ac:dyDescent="0.25">
      <c r="D30" t="s">
        <v>124</v>
      </c>
      <c r="E30" t="s">
        <v>127</v>
      </c>
      <c r="F30" t="s">
        <v>126</v>
      </c>
    </row>
    <row r="33" spans="1:17" x14ac:dyDescent="0.25">
      <c r="F33" s="143" t="s">
        <v>33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6" spans="1:17" x14ac:dyDescent="0.25">
      <c r="A36" s="150" t="s">
        <v>39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28"/>
    </row>
    <row r="37" spans="1:17" ht="60" x14ac:dyDescent="0.25">
      <c r="A37" s="29" t="s">
        <v>27</v>
      </c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27" t="s">
        <v>28</v>
      </c>
      <c r="P37" s="27" t="s">
        <v>29</v>
      </c>
      <c r="Q37" s="30" t="s">
        <v>30</v>
      </c>
    </row>
    <row r="38" spans="1:17" ht="30" customHeight="1" x14ac:dyDescent="0.25">
      <c r="A38" s="31" t="s">
        <v>25</v>
      </c>
      <c r="B38" s="154" t="s">
        <v>34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27" t="s">
        <v>35</v>
      </c>
      <c r="P38" s="32">
        <v>0.01</v>
      </c>
      <c r="Q38" s="33" t="s">
        <v>40</v>
      </c>
    </row>
    <row r="39" spans="1:17" x14ac:dyDescent="0.25">
      <c r="A39" s="29"/>
      <c r="B39" s="140" t="s">
        <v>36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2"/>
      <c r="O39" s="34" t="s">
        <v>37</v>
      </c>
      <c r="P39" s="35">
        <v>0.01</v>
      </c>
      <c r="Q39" s="33"/>
    </row>
    <row r="40" spans="1:17" x14ac:dyDescent="0.25">
      <c r="A40" s="36" t="s">
        <v>31</v>
      </c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 t="s">
        <v>32</v>
      </c>
      <c r="Q40" s="39">
        <v>1.3720000000000001</v>
      </c>
    </row>
    <row r="41" spans="1:17" x14ac:dyDescent="0.25">
      <c r="A41" s="43" t="s">
        <v>42</v>
      </c>
      <c r="B41" s="140" t="s">
        <v>44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34" t="s">
        <v>37</v>
      </c>
      <c r="P41" s="35">
        <v>0.01</v>
      </c>
      <c r="Q41" s="33" t="s">
        <v>43</v>
      </c>
    </row>
    <row r="42" spans="1:17" x14ac:dyDescent="0.25">
      <c r="A42" s="36" t="s">
        <v>31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 t="s">
        <v>32</v>
      </c>
      <c r="Q42" s="39">
        <v>1.5049999999999999</v>
      </c>
    </row>
    <row r="43" spans="1:17" x14ac:dyDescent="0.25">
      <c r="A43" s="43" t="s">
        <v>42</v>
      </c>
      <c r="B43" s="140" t="s">
        <v>46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34" t="s">
        <v>37</v>
      </c>
      <c r="P43" s="35">
        <v>0.03</v>
      </c>
      <c r="Q43" s="33" t="s">
        <v>45</v>
      </c>
    </row>
    <row r="44" spans="1:17" x14ac:dyDescent="0.25">
      <c r="A44" s="36" t="s">
        <v>31</v>
      </c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 t="s">
        <v>32</v>
      </c>
      <c r="Q44" s="39">
        <v>2.2690000000000001</v>
      </c>
    </row>
    <row r="45" spans="1:17" x14ac:dyDescent="0.25">
      <c r="A45" s="43" t="s">
        <v>42</v>
      </c>
      <c r="B45" s="140" t="s">
        <v>48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34" t="s">
        <v>37</v>
      </c>
      <c r="P45" s="35">
        <v>0.01</v>
      </c>
      <c r="Q45" s="33" t="s">
        <v>47</v>
      </c>
    </row>
    <row r="46" spans="1:17" x14ac:dyDescent="0.25">
      <c r="A46" s="36" t="s">
        <v>31</v>
      </c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 t="s">
        <v>32</v>
      </c>
      <c r="Q46" s="39">
        <v>0.376</v>
      </c>
    </row>
    <row r="47" spans="1:17" x14ac:dyDescent="0.25">
      <c r="A47" s="43" t="s">
        <v>52</v>
      </c>
      <c r="B47" s="140" t="s">
        <v>54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2"/>
      <c r="O47" s="34" t="s">
        <v>35</v>
      </c>
      <c r="P47" s="35">
        <v>0.02</v>
      </c>
      <c r="Q47" s="33" t="s">
        <v>53</v>
      </c>
    </row>
    <row r="48" spans="1:17" ht="30.75" customHeight="1" x14ac:dyDescent="0.25">
      <c r="A48" s="43"/>
      <c r="B48" s="49"/>
      <c r="C48" s="49"/>
      <c r="D48" s="157" t="s">
        <v>55</v>
      </c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27" t="s">
        <v>35</v>
      </c>
      <c r="P48" s="32">
        <v>0.02</v>
      </c>
      <c r="Q48" s="33"/>
    </row>
    <row r="49" spans="1:17" x14ac:dyDescent="0.25">
      <c r="A49" s="45" t="s">
        <v>31</v>
      </c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 t="s">
        <v>32</v>
      </c>
      <c r="Q49" s="48">
        <v>2.1819999999999999</v>
      </c>
    </row>
    <row r="50" spans="1:17" x14ac:dyDescent="0.25">
      <c r="A50" s="43" t="s">
        <v>52</v>
      </c>
      <c r="B50" s="140" t="s">
        <v>57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2"/>
      <c r="O50" s="34" t="s">
        <v>35</v>
      </c>
      <c r="P50" s="50">
        <v>4.8000000000000001E-2</v>
      </c>
      <c r="Q50" s="33" t="s">
        <v>56</v>
      </c>
    </row>
    <row r="51" spans="1:17" x14ac:dyDescent="0.25">
      <c r="A51" s="43"/>
      <c r="B51" s="49"/>
      <c r="C51" s="49"/>
      <c r="D51" s="157" t="s">
        <v>58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27" t="s">
        <v>35</v>
      </c>
      <c r="P51" s="51">
        <v>4.8000000000000001E-2</v>
      </c>
      <c r="Q51" s="33"/>
    </row>
    <row r="52" spans="1:17" x14ac:dyDescent="0.25">
      <c r="A52" s="45" t="s">
        <v>31</v>
      </c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 t="s">
        <v>32</v>
      </c>
      <c r="Q52" s="48">
        <v>5.4029999999999996</v>
      </c>
    </row>
    <row r="53" spans="1:17" x14ac:dyDescent="0.25">
      <c r="A53" s="43" t="s">
        <v>52</v>
      </c>
      <c r="B53" s="140" t="s">
        <v>59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2"/>
      <c r="O53" s="34" t="s">
        <v>37</v>
      </c>
      <c r="P53" s="35">
        <v>0.01</v>
      </c>
      <c r="Q53" s="33" t="s">
        <v>60</v>
      </c>
    </row>
    <row r="54" spans="1:17" x14ac:dyDescent="0.25">
      <c r="A54" s="45" t="s">
        <v>31</v>
      </c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 t="s">
        <v>32</v>
      </c>
      <c r="Q54" s="48">
        <v>0.376</v>
      </c>
    </row>
    <row r="55" spans="1:17" ht="75" x14ac:dyDescent="0.25">
      <c r="A55" s="43" t="s">
        <v>52</v>
      </c>
      <c r="B55" s="158" t="s">
        <v>62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60"/>
      <c r="O55" s="53" t="s">
        <v>63</v>
      </c>
      <c r="P55" s="52">
        <v>2.6</v>
      </c>
      <c r="Q55" s="30" t="s">
        <v>61</v>
      </c>
    </row>
    <row r="56" spans="1:17" x14ac:dyDescent="0.25">
      <c r="A56" s="45" t="s">
        <v>31</v>
      </c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 t="s">
        <v>32</v>
      </c>
      <c r="Q56" s="48">
        <v>99.161000000000001</v>
      </c>
    </row>
    <row r="57" spans="1:17" x14ac:dyDescent="0.25">
      <c r="A57" s="43" t="s">
        <v>64</v>
      </c>
      <c r="B57" s="158" t="s">
        <v>66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60"/>
      <c r="O57" s="53" t="s">
        <v>35</v>
      </c>
      <c r="P57" s="52">
        <v>0.08</v>
      </c>
      <c r="Q57" s="30" t="s">
        <v>65</v>
      </c>
    </row>
    <row r="58" spans="1:17" x14ac:dyDescent="0.25">
      <c r="A58" s="54" t="s">
        <v>31</v>
      </c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 t="s">
        <v>32</v>
      </c>
      <c r="Q58" s="57">
        <v>0.77600000000000002</v>
      </c>
    </row>
    <row r="59" spans="1:17" ht="30" x14ac:dyDescent="0.25">
      <c r="A59" s="43" t="s">
        <v>68</v>
      </c>
      <c r="B59" s="136" t="s">
        <v>77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8"/>
      <c r="O59" s="53" t="s">
        <v>63</v>
      </c>
      <c r="P59" s="63">
        <v>0.02</v>
      </c>
      <c r="Q59" s="30" t="s">
        <v>76</v>
      </c>
    </row>
    <row r="60" spans="1:17" x14ac:dyDescent="0.25">
      <c r="A60" s="59" t="s">
        <v>31</v>
      </c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 t="s">
        <v>32</v>
      </c>
      <c r="Q60" s="62">
        <v>1.2130000000000001</v>
      </c>
    </row>
    <row r="61" spans="1:17" x14ac:dyDescent="0.25">
      <c r="A61" s="43" t="s">
        <v>68</v>
      </c>
      <c r="B61" s="136" t="s">
        <v>66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8"/>
      <c r="O61" s="53" t="s">
        <v>35</v>
      </c>
      <c r="P61" s="63">
        <v>0.08</v>
      </c>
      <c r="Q61" s="30" t="s">
        <v>78</v>
      </c>
    </row>
    <row r="62" spans="1:17" x14ac:dyDescent="0.25">
      <c r="A62" s="59" t="s">
        <v>31</v>
      </c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 t="s">
        <v>32</v>
      </c>
      <c r="Q62" s="62">
        <v>0.77600000000000002</v>
      </c>
    </row>
    <row r="63" spans="1:17" ht="12.75" customHeight="1" x14ac:dyDescent="0.25">
      <c r="A63" s="43" t="s">
        <v>68</v>
      </c>
      <c r="B63" s="136" t="s">
        <v>79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8"/>
      <c r="O63" s="53" t="s">
        <v>80</v>
      </c>
      <c r="P63" s="63">
        <v>0.02</v>
      </c>
      <c r="Q63" s="64" t="s">
        <v>81</v>
      </c>
    </row>
    <row r="64" spans="1:17" x14ac:dyDescent="0.25">
      <c r="A64" s="59" t="s">
        <v>31</v>
      </c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 t="s">
        <v>32</v>
      </c>
      <c r="Q64" s="62">
        <v>1.272</v>
      </c>
    </row>
    <row r="65" spans="1:17" ht="33.75" customHeight="1" x14ac:dyDescent="0.25">
      <c r="A65" s="43" t="s">
        <v>82</v>
      </c>
      <c r="B65" s="136" t="s">
        <v>84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8"/>
      <c r="O65" s="53" t="s">
        <v>85</v>
      </c>
      <c r="P65" s="71">
        <v>2</v>
      </c>
      <c r="Q65" s="64" t="s">
        <v>83</v>
      </c>
    </row>
    <row r="66" spans="1:17" x14ac:dyDescent="0.25">
      <c r="A66" s="67" t="s">
        <v>31</v>
      </c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 t="s">
        <v>32</v>
      </c>
      <c r="Q66" s="70">
        <v>2.3130000000000002</v>
      </c>
    </row>
    <row r="67" spans="1:17" x14ac:dyDescent="0.25">
      <c r="A67" s="43" t="s">
        <v>82</v>
      </c>
      <c r="B67" s="136" t="s">
        <v>87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8"/>
      <c r="O67" s="53" t="s">
        <v>35</v>
      </c>
      <c r="P67" s="71">
        <v>0.01</v>
      </c>
      <c r="Q67" s="64" t="s">
        <v>86</v>
      </c>
    </row>
    <row r="68" spans="1:17" x14ac:dyDescent="0.25">
      <c r="A68" s="43"/>
      <c r="B68" s="65"/>
      <c r="C68" s="66"/>
      <c r="D68" s="135" t="s">
        <v>88</v>
      </c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74" t="s">
        <v>37</v>
      </c>
      <c r="P68" s="75">
        <v>0.01</v>
      </c>
      <c r="Q68" s="64"/>
    </row>
    <row r="69" spans="1:17" x14ac:dyDescent="0.25">
      <c r="A69" s="43"/>
      <c r="B69" s="65"/>
      <c r="C69" s="66"/>
      <c r="D69" s="135" t="s">
        <v>89</v>
      </c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74" t="s">
        <v>90</v>
      </c>
      <c r="P69" s="75">
        <v>0.01</v>
      </c>
      <c r="Q69" s="64"/>
    </row>
    <row r="70" spans="1:17" x14ac:dyDescent="0.25">
      <c r="A70" s="67" t="s">
        <v>31</v>
      </c>
      <c r="B70" s="68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 t="s">
        <v>32</v>
      </c>
      <c r="Q70" s="70">
        <v>0.95499999999999996</v>
      </c>
    </row>
    <row r="71" spans="1:17" ht="30.75" customHeight="1" x14ac:dyDescent="0.25">
      <c r="A71" s="43" t="s">
        <v>82</v>
      </c>
      <c r="B71" s="72"/>
      <c r="C71" s="73"/>
      <c r="D71" s="135" t="s">
        <v>91</v>
      </c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74" t="s">
        <v>35</v>
      </c>
      <c r="P71" s="75">
        <v>10.08</v>
      </c>
      <c r="Q71" s="64"/>
    </row>
    <row r="72" spans="1:17" x14ac:dyDescent="0.25">
      <c r="A72" s="67" t="s">
        <v>31</v>
      </c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 t="s">
        <v>32</v>
      </c>
      <c r="Q72" s="70">
        <v>27.614000000000001</v>
      </c>
    </row>
    <row r="73" spans="1:17" ht="26.25" x14ac:dyDescent="0.25">
      <c r="A73" s="43" t="s">
        <v>92</v>
      </c>
      <c r="B73" s="76"/>
      <c r="C73" s="77"/>
      <c r="D73" s="135" t="s">
        <v>54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74" t="s">
        <v>35</v>
      </c>
      <c r="P73" s="75">
        <v>0.03</v>
      </c>
      <c r="Q73" s="64" t="s">
        <v>95</v>
      </c>
    </row>
    <row r="74" spans="1:17" ht="30.75" customHeight="1" x14ac:dyDescent="0.25">
      <c r="A74" s="43"/>
      <c r="B74" s="76"/>
      <c r="C74" s="77"/>
      <c r="D74" s="135" t="s">
        <v>96</v>
      </c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74" t="s">
        <v>35</v>
      </c>
      <c r="P74" s="75">
        <v>0.03</v>
      </c>
      <c r="Q74" s="64"/>
    </row>
    <row r="75" spans="1:17" x14ac:dyDescent="0.25">
      <c r="A75" s="80" t="s">
        <v>31</v>
      </c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 t="s">
        <v>32</v>
      </c>
      <c r="Q75" s="83">
        <v>4.343</v>
      </c>
    </row>
    <row r="76" spans="1:17" x14ac:dyDescent="0.25">
      <c r="A76" s="43" t="s">
        <v>92</v>
      </c>
      <c r="B76" s="78"/>
      <c r="C76" s="79"/>
      <c r="D76" s="135" t="s">
        <v>66</v>
      </c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74"/>
      <c r="P76" s="75"/>
      <c r="Q76" s="64" t="s">
        <v>97</v>
      </c>
    </row>
    <row r="77" spans="1:17" x14ac:dyDescent="0.25">
      <c r="A77" s="80" t="s">
        <v>31</v>
      </c>
      <c r="B77" s="81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 t="s">
        <v>32</v>
      </c>
      <c r="Q77" s="83">
        <v>0.80200000000000005</v>
      </c>
    </row>
    <row r="78" spans="1:17" x14ac:dyDescent="0.25">
      <c r="A78" s="43" t="s">
        <v>92</v>
      </c>
      <c r="B78" s="84"/>
      <c r="C78" s="85"/>
      <c r="D78" s="135" t="s">
        <v>98</v>
      </c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74" t="s">
        <v>99</v>
      </c>
      <c r="P78" s="75">
        <v>1</v>
      </c>
      <c r="Q78" s="64"/>
    </row>
    <row r="79" spans="1:17" x14ac:dyDescent="0.25">
      <c r="A79" s="80" t="s">
        <v>31</v>
      </c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 t="s">
        <v>32</v>
      </c>
      <c r="Q79" s="83">
        <v>6.3410000000000002</v>
      </c>
    </row>
    <row r="80" spans="1:17" x14ac:dyDescent="0.25">
      <c r="A80" s="43" t="s">
        <v>100</v>
      </c>
      <c r="B80" s="87"/>
      <c r="C80" s="88"/>
      <c r="D80" s="135" t="s">
        <v>103</v>
      </c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74" t="s">
        <v>35</v>
      </c>
      <c r="P80" s="95">
        <v>3.5999999999999997E-2</v>
      </c>
      <c r="Q80" s="64" t="s">
        <v>102</v>
      </c>
    </row>
    <row r="81" spans="1:17" x14ac:dyDescent="0.25">
      <c r="A81" s="43"/>
      <c r="B81" s="86"/>
      <c r="C81" s="86"/>
      <c r="D81" s="135" t="s">
        <v>58</v>
      </c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74" t="s">
        <v>35</v>
      </c>
      <c r="P81" s="95">
        <v>3.5999999999999997E-2</v>
      </c>
      <c r="Q81" s="64"/>
    </row>
    <row r="82" spans="1:17" x14ac:dyDescent="0.25">
      <c r="A82" s="91" t="s">
        <v>31</v>
      </c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 t="s">
        <v>32</v>
      </c>
      <c r="Q82" s="94">
        <v>4.29</v>
      </c>
    </row>
    <row r="83" spans="1:17" ht="39" x14ac:dyDescent="0.25">
      <c r="A83" s="43" t="s">
        <v>100</v>
      </c>
      <c r="B83" s="89"/>
      <c r="C83" s="90"/>
      <c r="D83" s="135" t="s">
        <v>66</v>
      </c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74" t="s">
        <v>35</v>
      </c>
      <c r="P83" s="95">
        <v>0.16</v>
      </c>
      <c r="Q83" s="64" t="s">
        <v>104</v>
      </c>
    </row>
    <row r="84" spans="1:17" x14ac:dyDescent="0.25">
      <c r="A84" s="91" t="s">
        <v>31</v>
      </c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 t="s">
        <v>32</v>
      </c>
      <c r="Q84" s="94">
        <v>1.605</v>
      </c>
    </row>
    <row r="85" spans="1:17" ht="26.25" x14ac:dyDescent="0.25">
      <c r="A85" s="43" t="s">
        <v>100</v>
      </c>
      <c r="B85" s="96"/>
      <c r="C85" s="97"/>
      <c r="D85" s="135" t="s">
        <v>106</v>
      </c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74" t="s">
        <v>63</v>
      </c>
      <c r="P85" s="100">
        <v>20.3</v>
      </c>
      <c r="Q85" s="64" t="s">
        <v>105</v>
      </c>
    </row>
    <row r="86" spans="1:17" x14ac:dyDescent="0.25">
      <c r="A86" s="91" t="s">
        <v>31</v>
      </c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 t="s">
        <v>32</v>
      </c>
      <c r="Q86" s="94">
        <v>8.5239999999999991</v>
      </c>
    </row>
    <row r="87" spans="1:17" ht="39" x14ac:dyDescent="0.25">
      <c r="A87" s="43" t="s">
        <v>101</v>
      </c>
      <c r="B87" s="98"/>
      <c r="C87" s="99"/>
      <c r="D87" s="135" t="s">
        <v>108</v>
      </c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74" t="s">
        <v>109</v>
      </c>
      <c r="P87" s="100">
        <v>1.5</v>
      </c>
      <c r="Q87" s="64" t="s">
        <v>107</v>
      </c>
    </row>
    <row r="88" spans="1:17" x14ac:dyDescent="0.25">
      <c r="A88" s="103" t="s">
        <v>31</v>
      </c>
      <c r="B88" s="104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 t="s">
        <v>32</v>
      </c>
      <c r="Q88" s="106">
        <v>29.462</v>
      </c>
    </row>
    <row r="89" spans="1:17" ht="39" x14ac:dyDescent="0.25">
      <c r="A89" s="43" t="s">
        <v>101</v>
      </c>
      <c r="B89" s="101"/>
      <c r="C89" s="102"/>
      <c r="D89" s="135" t="s">
        <v>110</v>
      </c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74" t="s">
        <v>35</v>
      </c>
      <c r="P89" s="75">
        <v>0.02</v>
      </c>
      <c r="Q89" s="64" t="s">
        <v>111</v>
      </c>
    </row>
    <row r="90" spans="1:17" x14ac:dyDescent="0.25">
      <c r="A90" s="43"/>
      <c r="B90" s="101"/>
      <c r="C90" s="102"/>
      <c r="D90" s="135" t="s">
        <v>112</v>
      </c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74" t="s">
        <v>35</v>
      </c>
      <c r="P90" s="75">
        <v>0.02</v>
      </c>
      <c r="Q90" s="64"/>
    </row>
    <row r="91" spans="1:17" x14ac:dyDescent="0.25">
      <c r="A91" s="103" t="s">
        <v>31</v>
      </c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 t="s">
        <v>32</v>
      </c>
      <c r="Q91" s="106">
        <v>1.778</v>
      </c>
    </row>
    <row r="92" spans="1:17" x14ac:dyDescent="0.25">
      <c r="A92" s="43" t="s">
        <v>101</v>
      </c>
      <c r="B92" s="107"/>
      <c r="C92" s="108"/>
      <c r="D92" s="135" t="s">
        <v>89</v>
      </c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74" t="s">
        <v>90</v>
      </c>
      <c r="P92" s="75">
        <v>0.01</v>
      </c>
      <c r="Q92" s="64" t="s">
        <v>113</v>
      </c>
    </row>
    <row r="93" spans="1:17" x14ac:dyDescent="0.25">
      <c r="A93" s="103" t="s">
        <v>31</v>
      </c>
      <c r="B93" s="10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 t="s">
        <v>32</v>
      </c>
      <c r="Q93" s="106">
        <v>0.12</v>
      </c>
    </row>
    <row r="94" spans="1:17" ht="26.25" x14ac:dyDescent="0.25">
      <c r="A94" s="43" t="s">
        <v>101</v>
      </c>
      <c r="B94" s="110"/>
      <c r="C94" s="111"/>
      <c r="D94" s="135" t="s">
        <v>62</v>
      </c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74" t="s">
        <v>63</v>
      </c>
      <c r="P94" s="75">
        <v>0.22</v>
      </c>
      <c r="Q94" s="64" t="s">
        <v>114</v>
      </c>
    </row>
    <row r="95" spans="1:17" x14ac:dyDescent="0.25">
      <c r="A95" s="43"/>
      <c r="B95" s="109"/>
      <c r="C95" s="109"/>
      <c r="D95" s="135" t="s">
        <v>115</v>
      </c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74" t="s">
        <v>116</v>
      </c>
      <c r="P95" s="75">
        <v>0.06</v>
      </c>
      <c r="Q95" s="64"/>
    </row>
    <row r="96" spans="1:17" x14ac:dyDescent="0.25">
      <c r="A96" s="103" t="s">
        <v>31</v>
      </c>
      <c r="B96" s="104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 t="s">
        <v>32</v>
      </c>
      <c r="Q96" s="106">
        <v>9.9939999999999998</v>
      </c>
    </row>
    <row r="97" spans="1:17" ht="26.25" x14ac:dyDescent="0.25">
      <c r="A97" s="43" t="s">
        <v>117</v>
      </c>
      <c r="B97" s="112"/>
      <c r="C97" s="112"/>
      <c r="D97" s="135" t="s">
        <v>66</v>
      </c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74" t="s">
        <v>35</v>
      </c>
      <c r="P97" s="75">
        <v>0.08</v>
      </c>
      <c r="Q97" s="64" t="s">
        <v>118</v>
      </c>
    </row>
    <row r="98" spans="1:17" x14ac:dyDescent="0.25">
      <c r="A98" s="116" t="s">
        <v>31</v>
      </c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 t="s">
        <v>32</v>
      </c>
      <c r="Q98" s="119">
        <v>0.83199999999999996</v>
      </c>
    </row>
    <row r="99" spans="1:17" ht="39" x14ac:dyDescent="0.25">
      <c r="A99" s="43" t="s">
        <v>117</v>
      </c>
      <c r="B99" s="113"/>
      <c r="C99" s="113"/>
      <c r="D99" s="135" t="s">
        <v>54</v>
      </c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74" t="s">
        <v>35</v>
      </c>
      <c r="P99" s="75">
        <v>0.38</v>
      </c>
      <c r="Q99" s="64" t="s">
        <v>119</v>
      </c>
    </row>
    <row r="100" spans="1:17" ht="30" customHeight="1" x14ac:dyDescent="0.25">
      <c r="A100" s="43"/>
      <c r="B100" s="114"/>
      <c r="C100" s="115"/>
      <c r="D100" s="136" t="s">
        <v>120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8"/>
      <c r="O100" s="74" t="s">
        <v>85</v>
      </c>
      <c r="P100" s="75">
        <v>4</v>
      </c>
      <c r="Q100" s="64"/>
    </row>
    <row r="101" spans="1:17" ht="31.5" customHeight="1" x14ac:dyDescent="0.25">
      <c r="A101" s="43"/>
      <c r="B101" s="114"/>
      <c r="C101" s="115"/>
      <c r="D101" s="135" t="s">
        <v>96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74" t="s">
        <v>35</v>
      </c>
      <c r="P101" s="75">
        <v>0.02</v>
      </c>
      <c r="Q101" s="64"/>
    </row>
    <row r="102" spans="1:17" ht="28.5" customHeight="1" x14ac:dyDescent="0.25">
      <c r="A102" s="43"/>
      <c r="B102" s="114"/>
      <c r="C102" s="115"/>
      <c r="D102" s="135" t="s">
        <v>55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74" t="s">
        <v>35</v>
      </c>
      <c r="P102" s="75">
        <v>0.32</v>
      </c>
      <c r="Q102" s="64"/>
    </row>
    <row r="103" spans="1:17" x14ac:dyDescent="0.25">
      <c r="A103" s="43"/>
      <c r="B103" s="114"/>
      <c r="C103" s="115"/>
      <c r="D103" s="135" t="s">
        <v>103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74" t="s">
        <v>35</v>
      </c>
      <c r="P103" s="75">
        <v>0.05</v>
      </c>
      <c r="Q103" s="64"/>
    </row>
    <row r="104" spans="1:17" x14ac:dyDescent="0.25">
      <c r="A104" s="43"/>
      <c r="B104" s="114"/>
      <c r="C104" s="115"/>
      <c r="D104" s="135" t="s">
        <v>58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74" t="s">
        <v>35</v>
      </c>
      <c r="P104" s="75">
        <v>0.05</v>
      </c>
      <c r="Q104" s="64"/>
    </row>
    <row r="105" spans="1:17" x14ac:dyDescent="0.25">
      <c r="A105" s="43"/>
      <c r="B105" s="114"/>
      <c r="C105" s="115"/>
      <c r="D105" s="135" t="s">
        <v>89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74" t="s">
        <v>90</v>
      </c>
      <c r="P105" s="75">
        <v>0.01</v>
      </c>
      <c r="Q105" s="64"/>
    </row>
    <row r="106" spans="1:17" x14ac:dyDescent="0.25">
      <c r="A106" s="116" t="s">
        <v>31</v>
      </c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 t="s">
        <v>32</v>
      </c>
      <c r="Q106" s="119">
        <v>50.811999999999998</v>
      </c>
    </row>
    <row r="107" spans="1:17" ht="26.25" x14ac:dyDescent="0.25">
      <c r="A107" s="43" t="s">
        <v>117</v>
      </c>
      <c r="B107" s="120"/>
      <c r="C107" s="121"/>
      <c r="D107" s="135" t="s">
        <v>122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74" t="s">
        <v>80</v>
      </c>
      <c r="P107" s="75">
        <v>0.02</v>
      </c>
      <c r="Q107" s="64" t="s">
        <v>121</v>
      </c>
    </row>
    <row r="108" spans="1:17" x14ac:dyDescent="0.25">
      <c r="A108" s="43"/>
      <c r="B108" s="120"/>
      <c r="C108" s="121"/>
      <c r="D108" s="135" t="s">
        <v>89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74" t="s">
        <v>90</v>
      </c>
      <c r="P108" s="75">
        <v>0.01</v>
      </c>
      <c r="Q108" s="64"/>
    </row>
    <row r="109" spans="1:17" x14ac:dyDescent="0.25">
      <c r="A109" s="116" t="s">
        <v>31</v>
      </c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 t="s">
        <v>32</v>
      </c>
      <c r="Q109" s="119">
        <v>0.97799999999999998</v>
      </c>
    </row>
    <row r="110" spans="1:17" x14ac:dyDescent="0.25">
      <c r="A110" s="43" t="s">
        <v>124</v>
      </c>
      <c r="B110" s="122"/>
      <c r="C110" s="123"/>
      <c r="D110" s="135" t="s">
        <v>59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74" t="s">
        <v>37</v>
      </c>
      <c r="P110" s="100">
        <v>0.4</v>
      </c>
      <c r="Q110" s="64"/>
    </row>
    <row r="111" spans="1:17" x14ac:dyDescent="0.25">
      <c r="A111" s="124" t="s">
        <v>31</v>
      </c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 t="s">
        <v>32</v>
      </c>
      <c r="Q111" s="127">
        <v>15.669</v>
      </c>
    </row>
    <row r="112" spans="1:17" x14ac:dyDescent="0.25">
      <c r="A112" s="43" t="s">
        <v>124</v>
      </c>
      <c r="B112" s="128"/>
      <c r="C112" s="129"/>
      <c r="D112" s="135" t="s">
        <v>66</v>
      </c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74" t="s">
        <v>35</v>
      </c>
      <c r="P112" s="75">
        <v>0.24</v>
      </c>
      <c r="Q112" s="64" t="s">
        <v>128</v>
      </c>
    </row>
    <row r="113" spans="1:17" x14ac:dyDescent="0.25">
      <c r="A113" s="124" t="s">
        <v>31</v>
      </c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 t="s">
        <v>32</v>
      </c>
      <c r="Q113" s="127">
        <v>2.415</v>
      </c>
    </row>
    <row r="114" spans="1:17" x14ac:dyDescent="0.25">
      <c r="A114" s="43" t="s">
        <v>124</v>
      </c>
      <c r="B114" s="130"/>
      <c r="C114" s="131"/>
      <c r="D114" s="135" t="s">
        <v>103</v>
      </c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74" t="s">
        <v>35</v>
      </c>
      <c r="P114" s="95">
        <v>2.5000000000000001E-2</v>
      </c>
      <c r="Q114" s="64" t="s">
        <v>129</v>
      </c>
    </row>
    <row r="115" spans="1:17" x14ac:dyDescent="0.25">
      <c r="A115" s="43"/>
      <c r="B115" s="130"/>
      <c r="C115" s="131"/>
      <c r="D115" s="135" t="s">
        <v>58</v>
      </c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74" t="s">
        <v>35</v>
      </c>
      <c r="P115" s="95">
        <v>2.5000000000000001E-2</v>
      </c>
      <c r="Q115" s="64"/>
    </row>
    <row r="116" spans="1:17" x14ac:dyDescent="0.25">
      <c r="A116" s="124" t="s">
        <v>31</v>
      </c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 t="s">
        <v>32</v>
      </c>
      <c r="Q116" s="127">
        <v>2.9580000000000002</v>
      </c>
    </row>
  </sheetData>
  <mergeCells count="56">
    <mergeCell ref="D97:N97"/>
    <mergeCell ref="B47:N47"/>
    <mergeCell ref="D94:N94"/>
    <mergeCell ref="D95:N95"/>
    <mergeCell ref="D48:N48"/>
    <mergeCell ref="D69:N69"/>
    <mergeCell ref="B63:N63"/>
    <mergeCell ref="B50:N50"/>
    <mergeCell ref="D51:N51"/>
    <mergeCell ref="B53:N53"/>
    <mergeCell ref="B55:N55"/>
    <mergeCell ref="D71:N71"/>
    <mergeCell ref="B57:N57"/>
    <mergeCell ref="D68:N68"/>
    <mergeCell ref="B65:N65"/>
    <mergeCell ref="B59:N59"/>
    <mergeCell ref="A3:Q3"/>
    <mergeCell ref="B45:N45"/>
    <mergeCell ref="F33:P33"/>
    <mergeCell ref="D4:F4"/>
    <mergeCell ref="H4:H5"/>
    <mergeCell ref="K4:N4"/>
    <mergeCell ref="O4:O5"/>
    <mergeCell ref="B41:N41"/>
    <mergeCell ref="B43:N43"/>
    <mergeCell ref="A36:P36"/>
    <mergeCell ref="B37:N37"/>
    <mergeCell ref="B38:N38"/>
    <mergeCell ref="B39:N39"/>
    <mergeCell ref="B61:N61"/>
    <mergeCell ref="B67:N67"/>
    <mergeCell ref="D73:N73"/>
    <mergeCell ref="D74:N74"/>
    <mergeCell ref="D76:N76"/>
    <mergeCell ref="D85:N85"/>
    <mergeCell ref="D83:N83"/>
    <mergeCell ref="D92:N92"/>
    <mergeCell ref="D87:N87"/>
    <mergeCell ref="D80:N80"/>
    <mergeCell ref="D81:N81"/>
    <mergeCell ref="D114:N114"/>
    <mergeCell ref="D115:N115"/>
    <mergeCell ref="D112:N112"/>
    <mergeCell ref="D78:N78"/>
    <mergeCell ref="D89:N89"/>
    <mergeCell ref="D90:N90"/>
    <mergeCell ref="D110:N110"/>
    <mergeCell ref="D104:N104"/>
    <mergeCell ref="D105:N105"/>
    <mergeCell ref="D99:N99"/>
    <mergeCell ref="D102:N102"/>
    <mergeCell ref="D100:N100"/>
    <mergeCell ref="D101:N101"/>
    <mergeCell ref="D103:N103"/>
    <mergeCell ref="D107:N107"/>
    <mergeCell ref="D108:N108"/>
  </mergeCells>
  <pageMargins left="0.22916666666666666" right="1.0416666666666666E-2" top="0.75" bottom="0.41666666666666669" header="0.3" footer="0.3"/>
  <pageSetup paperSize="9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2015-02-09T11:08:17Z</dcterms:modified>
</cp:coreProperties>
</file>