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800" windowHeight="5595" activeTab="0"/>
  </bookViews>
  <sheets>
    <sheet name="2014" sheetId="1" r:id="rId1"/>
  </sheets>
  <definedNames>
    <definedName name="_xlnm.Print_Area" localSheetId="0">'2014'!$A$45:$O$79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65000р-окна</t>
        </r>
      </text>
    </comment>
    <comment ref="B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1шт -300р с 01.03.14г</t>
        </r>
      </text>
    </comment>
    <comment ref="K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лавочки - 6 шт - 18000руб.</t>
        </r>
      </text>
    </comment>
    <comment ref="K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900р-краска+работа
+690р-по труд.соглашению</t>
        </r>
      </text>
    </comment>
    <comment ref="K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21500р-поверка теплосчетчика
445р-краска,олифа и т.д.</t>
        </r>
      </text>
    </comment>
    <comment ref="K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900р-поручни 9м и подгонка двери</t>
        </r>
      </text>
    </comment>
    <comment ref="K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780р-краска
</t>
        </r>
      </text>
    </comment>
    <comment ref="K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теплосчетчик</t>
        </r>
      </text>
    </comment>
    <comment ref="K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2900р-стабилизатор</t>
        </r>
      </text>
    </comment>
    <comment ref="K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3000р-3 доски объявлений</t>
        </r>
      </text>
    </comment>
  </commentList>
</comments>
</file>

<file path=xl/sharedStrings.xml><?xml version="1.0" encoding="utf-8"?>
<sst xmlns="http://schemas.openxmlformats.org/spreadsheetml/2006/main" count="165" uniqueCount="98">
  <si>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</si>
  <si>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</si>
  <si>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</si>
  <si>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</si>
  <si>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</si>
  <si>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</si>
  <si>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</si>
  <si>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</si>
  <si>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</si>
  <si>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Остаток </t>
  </si>
  <si>
    <t xml:space="preserve">Оплата </t>
  </si>
  <si>
    <t>ЕРКЦ</t>
  </si>
  <si>
    <t>Налог</t>
  </si>
  <si>
    <t>Ремонт</t>
  </si>
  <si>
    <t>Площадь</t>
  </si>
  <si>
    <t>на конец</t>
  </si>
  <si>
    <t>Расходы</t>
  </si>
  <si>
    <t>Содержание</t>
  </si>
  <si>
    <t>договор ав.</t>
  </si>
  <si>
    <t>разное</t>
  </si>
  <si>
    <t>октябрь</t>
  </si>
  <si>
    <t>итого</t>
  </si>
  <si>
    <t>ноябрь</t>
  </si>
  <si>
    <t>декабрь</t>
  </si>
  <si>
    <t>Поступило от населения</t>
  </si>
  <si>
    <t>содержание</t>
  </si>
  <si>
    <t>ремонт</t>
  </si>
  <si>
    <t>территории</t>
  </si>
  <si>
    <t>эксплуатац</t>
  </si>
  <si>
    <t>Ген. директор ООО "Георгиевск - ЖЭУ"                                          Никишина И.М.</t>
  </si>
  <si>
    <t>Месяц</t>
  </si>
  <si>
    <t>ед. изм.</t>
  </si>
  <si>
    <t>кол-во</t>
  </si>
  <si>
    <t>ИТОГО</t>
  </si>
  <si>
    <t>тыс.руб.</t>
  </si>
  <si>
    <t>Выкашивание газонов: газонокосилкой</t>
  </si>
  <si>
    <t>100м2</t>
  </si>
  <si>
    <t>эпсилон</t>
  </si>
  <si>
    <t>кап. Ремонт</t>
  </si>
  <si>
    <t>Смёты</t>
  </si>
  <si>
    <t>100шт</t>
  </si>
  <si>
    <t>100м тр-да</t>
  </si>
  <si>
    <t>Гидравлическое испытание трубопроводов систем отопления, водопровода и горячего водоснабжения диаметром: до 100мм</t>
  </si>
  <si>
    <t>Смена патронов</t>
  </si>
  <si>
    <t>Место провед-я работ</t>
  </si>
  <si>
    <t>Учет доходов и расходов по Калинина 144/1 на 2014 год</t>
  </si>
  <si>
    <t>Перечень выполненных работ по сметам за 2014 год по дому Калинина 144/1</t>
  </si>
  <si>
    <t>Устройство кровель из оцинкованной стали</t>
  </si>
  <si>
    <t>Обшивка козырьков пластиком</t>
  </si>
  <si>
    <t>Установка каркаса из брусьев для навесов и крылец</t>
  </si>
  <si>
    <t>1м3</t>
  </si>
  <si>
    <t>65000р</t>
  </si>
  <si>
    <t>окна</t>
  </si>
  <si>
    <t>Ростелеком</t>
  </si>
  <si>
    <t>18000р</t>
  </si>
  <si>
    <t>лавочки</t>
  </si>
  <si>
    <t>1590р</t>
  </si>
  <si>
    <t>краска+работа</t>
  </si>
  <si>
    <t>21500р</t>
  </si>
  <si>
    <t>поверка теплосчетчика</t>
  </si>
  <si>
    <t>445р</t>
  </si>
  <si>
    <t>краска,олифа и т.д.</t>
  </si>
  <si>
    <t>поручень</t>
  </si>
  <si>
    <t>Монтаж: металлических конструкций дверей, люков, лазов</t>
  </si>
  <si>
    <t>10шт</t>
  </si>
  <si>
    <t>решетки</t>
  </si>
  <si>
    <t>Очистка канализационной сети внутренней</t>
  </si>
  <si>
    <t>кв.33</t>
  </si>
  <si>
    <t>Разборка трубопроводов из чугунных канализационных труб диаметом: 100мм</t>
  </si>
  <si>
    <t>Прокладка трубопроводов канализации из полиэтиленовых труб высокой плотности диаметром: 110 мм</t>
  </si>
  <si>
    <t>Ремонт штукатурки лестничных маршей и площадок</t>
  </si>
  <si>
    <t>Ремонт штукатурки откосов внутри здания по камню и бетону цементно-известковым раствором прямолинейных</t>
  </si>
  <si>
    <t>Перетирка штукатурки: внутренних помещений</t>
  </si>
  <si>
    <t>Улучшенная маслянная окраска ранее окрашенных стен: за два раза с расчисткой старой краски до 35%</t>
  </si>
  <si>
    <t>Окраска маслянными составами: деревянных поручней</t>
  </si>
  <si>
    <t>Окраска известковыми составами: по штукатурке</t>
  </si>
  <si>
    <t>Окраска маслянными составами: раннее окрашенных металлических решеток и оград без рельефа за 1 раз</t>
  </si>
  <si>
    <t>кв.48</t>
  </si>
  <si>
    <t>Смена: патронов</t>
  </si>
  <si>
    <t>900р</t>
  </si>
  <si>
    <t>поручни 9м и подгонка двери</t>
  </si>
  <si>
    <t>780р</t>
  </si>
  <si>
    <t>краска</t>
  </si>
  <si>
    <t>Сварка поручня из стальных водогазопроводных неоцинкованных труб диаметром: 20мм</t>
  </si>
  <si>
    <t>ИТОГО:</t>
  </si>
  <si>
    <t xml:space="preserve">Обшивка козырьков </t>
  </si>
  <si>
    <t>Сварка поручня</t>
  </si>
  <si>
    <t>Решетки</t>
  </si>
  <si>
    <t>Очистка канализ.сети</t>
  </si>
  <si>
    <t>Очистка канализационной сети: внутренней</t>
  </si>
  <si>
    <t>1 вызов</t>
  </si>
  <si>
    <t xml:space="preserve">Смена досок в полах до 3шт. </t>
  </si>
  <si>
    <t>100м досок</t>
  </si>
  <si>
    <t>2900р</t>
  </si>
  <si>
    <t>стабилизатор</t>
  </si>
  <si>
    <t>3000р</t>
  </si>
  <si>
    <t>3 доски объявлений</t>
  </si>
  <si>
    <t>ИТОГО за 2014 год: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</si>
</sst>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"/>
    <numFmt numFmtId="167" formatCode="#,##0.000_р_."/>
    <numFmt numFmtId="168" formatCode="0.0"/>
    <numFmt numFmtId="169" formatCode="0.0000"/>
  </numFmts>
  <fonts count="46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/>
    </xf>
    <xf numFmtId="0" fontId="0" fillId="5" borderId="12" xfId="0" applyFill="1" applyBorder="1" applyAlignment="1">
      <alignment/>
    </xf>
    <xf numFmtId="2" fontId="5" fillId="0" borderId="12" xfId="0" applyNumberFormat="1" applyFont="1" applyBorder="1" applyAlignment="1">
      <alignment/>
    </xf>
    <xf numFmtId="0" fontId="5" fillId="32" borderId="12" xfId="0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64" fontId="1" fillId="5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64" fontId="1" fillId="4" borderId="12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0" fontId="1" fillId="3" borderId="12" xfId="0" applyFont="1" applyFill="1" applyBorder="1" applyAlignment="1">
      <alignment/>
    </xf>
    <xf numFmtId="164" fontId="0" fillId="0" borderId="0" xfId="0" applyNumberFormat="1" applyAlignment="1">
      <alignment/>
    </xf>
    <xf numFmtId="0" fontId="1" fillId="5" borderId="12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2" fontId="5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5" xfId="0" applyBorder="1" applyAlignment="1">
      <alignment/>
    </xf>
    <xf numFmtId="0" fontId="5" fillId="35" borderId="12" xfId="0" applyNumberFormat="1" applyFont="1" applyFill="1" applyBorder="1" applyAlignment="1">
      <alignment horizontal="left"/>
    </xf>
    <xf numFmtId="2" fontId="5" fillId="35" borderId="16" xfId="0" applyNumberFormat="1" applyFont="1" applyFill="1" applyBorder="1" applyAlignment="1">
      <alignment/>
    </xf>
    <xf numFmtId="2" fontId="5" fillId="35" borderId="17" xfId="0" applyNumberFormat="1" applyFont="1" applyFill="1" applyBorder="1" applyAlignment="1">
      <alignment/>
    </xf>
    <xf numFmtId="2" fontId="5" fillId="35" borderId="18" xfId="0" applyNumberFormat="1" applyFont="1" applyFill="1" applyBorder="1" applyAlignment="1">
      <alignment/>
    </xf>
    <xf numFmtId="0" fontId="5" fillId="35" borderId="15" xfId="0" applyFont="1" applyFill="1" applyBorder="1" applyAlignment="1">
      <alignment/>
    </xf>
    <xf numFmtId="168" fontId="0" fillId="0" borderId="15" xfId="0" applyNumberFormat="1" applyBorder="1" applyAlignment="1">
      <alignment/>
    </xf>
    <xf numFmtId="0" fontId="1" fillId="12" borderId="12" xfId="0" applyFont="1" applyFill="1" applyBorder="1" applyAlignment="1">
      <alignment/>
    </xf>
    <xf numFmtId="0" fontId="5" fillId="13" borderId="12" xfId="0" applyNumberFormat="1" applyFont="1" applyFill="1" applyBorder="1" applyAlignment="1">
      <alignment horizontal="left"/>
    </xf>
    <xf numFmtId="2" fontId="5" fillId="13" borderId="16" xfId="0" applyNumberFormat="1" applyFont="1" applyFill="1" applyBorder="1" applyAlignment="1">
      <alignment/>
    </xf>
    <xf numFmtId="2" fontId="5" fillId="13" borderId="17" xfId="0" applyNumberFormat="1" applyFont="1" applyFill="1" applyBorder="1" applyAlignment="1">
      <alignment/>
    </xf>
    <xf numFmtId="2" fontId="5" fillId="13" borderId="18" xfId="0" applyNumberFormat="1" applyFont="1" applyFill="1" applyBorder="1" applyAlignment="1">
      <alignment/>
    </xf>
    <xf numFmtId="0" fontId="5" fillId="13" borderId="15" xfId="0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168" fontId="0" fillId="0" borderId="12" xfId="0" applyNumberFormat="1" applyBorder="1" applyAlignment="1">
      <alignment/>
    </xf>
    <xf numFmtId="166" fontId="5" fillId="13" borderId="15" xfId="0" applyNumberFormat="1" applyFont="1" applyFill="1" applyBorder="1" applyAlignment="1">
      <alignment/>
    </xf>
    <xf numFmtId="166" fontId="0" fillId="0" borderId="12" xfId="0" applyNumberFormat="1" applyBorder="1" applyAlignment="1">
      <alignment/>
    </xf>
    <xf numFmtId="0" fontId="5" fillId="21" borderId="12" xfId="0" applyNumberFormat="1" applyFont="1" applyFill="1" applyBorder="1" applyAlignment="1">
      <alignment horizontal="left"/>
    </xf>
    <xf numFmtId="2" fontId="5" fillId="21" borderId="16" xfId="0" applyNumberFormat="1" applyFont="1" applyFill="1" applyBorder="1" applyAlignment="1">
      <alignment/>
    </xf>
    <xf numFmtId="2" fontId="5" fillId="21" borderId="17" xfId="0" applyNumberFormat="1" applyFont="1" applyFill="1" applyBorder="1" applyAlignment="1">
      <alignment/>
    </xf>
    <xf numFmtId="2" fontId="5" fillId="21" borderId="18" xfId="0" applyNumberFormat="1" applyFont="1" applyFill="1" applyBorder="1" applyAlignment="1">
      <alignment/>
    </xf>
    <xf numFmtId="166" fontId="5" fillId="21" borderId="15" xfId="0" applyNumberFormat="1" applyFont="1" applyFill="1" applyBorder="1" applyAlignment="1">
      <alignment/>
    </xf>
    <xf numFmtId="0" fontId="5" fillId="11" borderId="12" xfId="0" applyNumberFormat="1" applyFont="1" applyFill="1" applyBorder="1" applyAlignment="1">
      <alignment horizontal="left"/>
    </xf>
    <xf numFmtId="2" fontId="5" fillId="11" borderId="16" xfId="0" applyNumberFormat="1" applyFont="1" applyFill="1" applyBorder="1" applyAlignment="1">
      <alignment/>
    </xf>
    <xf numFmtId="2" fontId="5" fillId="11" borderId="17" xfId="0" applyNumberFormat="1" applyFont="1" applyFill="1" applyBorder="1" applyAlignment="1">
      <alignment/>
    </xf>
    <xf numFmtId="2" fontId="5" fillId="11" borderId="18" xfId="0" applyNumberFormat="1" applyFont="1" applyFill="1" applyBorder="1" applyAlignment="1">
      <alignment/>
    </xf>
    <xf numFmtId="166" fontId="5" fillId="11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68" fontId="5" fillId="36" borderId="0" xfId="0" applyNumberFormat="1" applyFont="1" applyFill="1" applyAlignment="1">
      <alignment/>
    </xf>
    <xf numFmtId="0" fontId="5" fillId="37" borderId="12" xfId="0" applyNumberFormat="1" applyFont="1" applyFill="1" applyBorder="1" applyAlignment="1">
      <alignment horizontal="left"/>
    </xf>
    <xf numFmtId="2" fontId="5" fillId="37" borderId="16" xfId="0" applyNumberFormat="1" applyFont="1" applyFill="1" applyBorder="1" applyAlignment="1">
      <alignment/>
    </xf>
    <xf numFmtId="2" fontId="5" fillId="37" borderId="17" xfId="0" applyNumberFormat="1" applyFont="1" applyFill="1" applyBorder="1" applyAlignment="1">
      <alignment/>
    </xf>
    <xf numFmtId="2" fontId="5" fillId="37" borderId="18" xfId="0" applyNumberFormat="1" applyFont="1" applyFill="1" applyBorder="1" applyAlignment="1">
      <alignment/>
    </xf>
    <xf numFmtId="166" fontId="5" fillId="37" borderId="15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2" fontId="0" fillId="0" borderId="11" xfId="0" applyNumberFormat="1" applyBorder="1" applyAlignment="1">
      <alignment horizontal="left" wrapText="1"/>
    </xf>
    <xf numFmtId="2" fontId="0" fillId="0" borderId="18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0" fontId="6" fillId="0" borderId="0" xfId="0" applyFont="1" applyAlignment="1">
      <alignment horizontal="center"/>
    </xf>
    <xf numFmtId="2" fontId="0" fillId="0" borderId="12" xfId="0" applyNumberFormat="1" applyBorder="1" applyAlignment="1">
      <alignment horizontal="left" wrapText="1"/>
    </xf>
    <xf numFmtId="2" fontId="0" fillId="0" borderId="11" xfId="0" applyNumberFormat="1" applyFont="1" applyBorder="1" applyAlignment="1">
      <alignment horizontal="left"/>
    </xf>
    <xf numFmtId="2" fontId="0" fillId="0" borderId="18" xfId="0" applyNumberFormat="1" applyFont="1" applyBorder="1" applyAlignment="1">
      <alignment horizontal="left"/>
    </xf>
    <xf numFmtId="2" fontId="0" fillId="0" borderId="15" xfId="0" applyNumberFormat="1" applyFon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5" fillId="6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4:AB81"/>
  <sheetViews>
    <sheetView tabSelected="1" workbookViewId="0" topLeftCell="A1">
      <selection activeCell="K24" sqref="K24"/>
    </sheetView>
  </sheetViews>
  <sheetFormatPr defaultColWidth="9.00390625" defaultRowHeight="12.75"/>
  <cols>
    <col min="1" max="1" width="4.875" style="0" customWidth="1"/>
    <col min="2" max="2" width="10.00390625" style="0" customWidth="1"/>
    <col min="4" max="4" width="10.25390625" style="0" customWidth="1"/>
    <col min="8" max="8" width="9.625" style="0" bestFit="1" customWidth="1"/>
    <col min="9" max="9" width="10.125" style="0" customWidth="1"/>
    <col min="10" max="10" width="10.125" style="0" bestFit="1" customWidth="1"/>
    <col min="11" max="11" width="9.875" style="0" customWidth="1"/>
    <col min="13" max="13" width="10.125" style="0" customWidth="1"/>
    <col min="14" max="14" width="10.75390625" style="0" customWidth="1"/>
  </cols>
  <sheetData>
    <row r="4" spans="1:28" ht="12.75">
      <c r="A4" s="94" t="s">
        <v>45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1:15" ht="12.75">
      <c r="A5" s="2" t="s">
        <v>14</v>
      </c>
      <c r="B5" s="76" t="s">
        <v>24</v>
      </c>
      <c r="C5" s="77"/>
      <c r="D5" s="78"/>
      <c r="E5" s="3" t="s">
        <v>10</v>
      </c>
      <c r="F5" s="74" t="s">
        <v>12</v>
      </c>
      <c r="G5" s="3" t="s">
        <v>17</v>
      </c>
      <c r="H5" s="4"/>
      <c r="I5" s="5" t="s">
        <v>13</v>
      </c>
      <c r="J5" s="73" t="s">
        <v>17</v>
      </c>
      <c r="K5" s="73"/>
      <c r="L5" s="73"/>
      <c r="M5" s="74" t="s">
        <v>16</v>
      </c>
      <c r="N5" s="4" t="s">
        <v>9</v>
      </c>
      <c r="O5" s="6" t="s">
        <v>38</v>
      </c>
    </row>
    <row r="6" spans="1:15" ht="12.75">
      <c r="A6" s="7"/>
      <c r="B6" s="3" t="s">
        <v>25</v>
      </c>
      <c r="C6" s="8" t="s">
        <v>26</v>
      </c>
      <c r="D6" s="8" t="s">
        <v>21</v>
      </c>
      <c r="E6" s="9" t="s">
        <v>11</v>
      </c>
      <c r="F6" s="79"/>
      <c r="G6" s="9" t="s">
        <v>27</v>
      </c>
      <c r="H6" s="9" t="s">
        <v>39</v>
      </c>
      <c r="I6" s="3"/>
      <c r="J6" s="10" t="s">
        <v>18</v>
      </c>
      <c r="K6" s="9" t="s">
        <v>19</v>
      </c>
      <c r="L6" s="9" t="s">
        <v>28</v>
      </c>
      <c r="M6" s="75"/>
      <c r="N6" s="7" t="s">
        <v>15</v>
      </c>
      <c r="O6" s="6"/>
    </row>
    <row r="7" spans="1:15" ht="12.75">
      <c r="A7" s="18"/>
      <c r="B7" s="11"/>
      <c r="C7" s="13"/>
      <c r="D7" s="11">
        <v>177372.99</v>
      </c>
      <c r="E7" s="11"/>
      <c r="F7" s="11"/>
      <c r="G7" s="11"/>
      <c r="H7" s="11"/>
      <c r="I7" s="11"/>
      <c r="J7" s="1"/>
      <c r="K7" s="11"/>
      <c r="L7" s="11"/>
      <c r="M7" s="11"/>
      <c r="N7" s="12"/>
      <c r="O7" s="12">
        <v>37502.66</v>
      </c>
    </row>
    <row r="8" spans="1:15" ht="12.75">
      <c r="A8" s="20" t="s">
        <v>0</v>
      </c>
      <c r="B8" s="21">
        <f>10178+788.4</f>
        <v>10966.4</v>
      </c>
      <c r="C8" s="22">
        <f>5144+394.2</f>
        <v>5538.2</v>
      </c>
      <c r="D8" s="23">
        <f aca="true" t="shared" si="0" ref="D8:D21">SUM(B8:C8)</f>
        <v>16504.6</v>
      </c>
      <c r="E8" s="24">
        <f aca="true" t="shared" si="1" ref="E8:E19">SUM(D8*0.03)</f>
        <v>495.1379999999999</v>
      </c>
      <c r="F8" s="25">
        <f aca="true" t="shared" si="2" ref="F8:F21">SUM(D8*0.06)</f>
        <v>990.2759999999998</v>
      </c>
      <c r="G8" s="24">
        <v>3691</v>
      </c>
      <c r="H8" s="24">
        <v>1380</v>
      </c>
      <c r="I8" s="24">
        <v>0</v>
      </c>
      <c r="J8" s="24">
        <v>2216.93</v>
      </c>
      <c r="K8" s="24">
        <v>1200</v>
      </c>
      <c r="L8" s="24">
        <f aca="true" t="shared" si="3" ref="L8:L21">SUM(D8*0.15)</f>
        <v>2475.6899999999996</v>
      </c>
      <c r="M8" s="25">
        <f aca="true" t="shared" si="4" ref="M8:M21">SUM(E8:L8)</f>
        <v>12449.034</v>
      </c>
      <c r="N8" s="11">
        <f aca="true" t="shared" si="5" ref="N8:N21">D8-M8</f>
        <v>4055.565999999999</v>
      </c>
      <c r="O8" s="28">
        <f>888.51+44.3</f>
        <v>932.81</v>
      </c>
    </row>
    <row r="9" spans="1:15" ht="12.75">
      <c r="A9" s="20" t="s">
        <v>1</v>
      </c>
      <c r="B9" s="21">
        <f>8859.4+703.8+758.4</f>
        <v>10321.599999999999</v>
      </c>
      <c r="C9" s="22">
        <f>4379.7+351.9+379.2</f>
        <v>5110.799999999999</v>
      </c>
      <c r="D9" s="23">
        <f t="shared" si="0"/>
        <v>15432.399999999998</v>
      </c>
      <c r="E9" s="24">
        <f t="shared" si="1"/>
        <v>462.9719999999999</v>
      </c>
      <c r="F9" s="25">
        <f t="shared" si="2"/>
        <v>925.9439999999998</v>
      </c>
      <c r="G9" s="24">
        <v>3691</v>
      </c>
      <c r="H9" s="24">
        <v>1380</v>
      </c>
      <c r="I9" s="24">
        <v>0</v>
      </c>
      <c r="J9" s="24">
        <v>2216.93</v>
      </c>
      <c r="K9" s="24">
        <v>1200</v>
      </c>
      <c r="L9" s="24">
        <f t="shared" si="3"/>
        <v>2314.8599999999997</v>
      </c>
      <c r="M9" s="25">
        <f t="shared" si="4"/>
        <v>12191.705999999998</v>
      </c>
      <c r="N9" s="11">
        <f t="shared" si="5"/>
        <v>3240.6939999999995</v>
      </c>
      <c r="O9" s="28">
        <f>721.69+58.69+63.2</f>
        <v>843.5800000000002</v>
      </c>
    </row>
    <row r="10" spans="1:15" ht="12.75">
      <c r="A10" s="20" t="s">
        <v>2</v>
      </c>
      <c r="B10" s="21">
        <f>11973.2+1055.4+1314.6</f>
        <v>14343.2</v>
      </c>
      <c r="C10" s="22">
        <f>5962.79+527.7+657.3</f>
        <v>7147.79</v>
      </c>
      <c r="D10" s="23">
        <f t="shared" si="0"/>
        <v>21490.99</v>
      </c>
      <c r="E10" s="24">
        <f t="shared" si="1"/>
        <v>644.7297</v>
      </c>
      <c r="F10" s="25">
        <f t="shared" si="2"/>
        <v>1289.4594</v>
      </c>
      <c r="G10" s="24">
        <v>3691</v>
      </c>
      <c r="H10" s="24">
        <v>1380</v>
      </c>
      <c r="I10" s="24">
        <v>0</v>
      </c>
      <c r="J10" s="24">
        <v>2216.93</v>
      </c>
      <c r="K10" s="24">
        <f>1200+65000</f>
        <v>66200</v>
      </c>
      <c r="L10" s="24">
        <f t="shared" si="3"/>
        <v>3223.6485000000002</v>
      </c>
      <c r="M10" s="25">
        <f t="shared" si="4"/>
        <v>78645.76759999999</v>
      </c>
      <c r="N10" s="11">
        <f t="shared" si="5"/>
        <v>-57154.77759999999</v>
      </c>
      <c r="O10" s="28">
        <f>844.23+87.95+109.55</f>
        <v>1041.73</v>
      </c>
    </row>
    <row r="11" spans="1:15" ht="12.75">
      <c r="A11" s="20" t="s">
        <v>3</v>
      </c>
      <c r="B11" s="21">
        <f>12547.8+354+2821</f>
        <v>15722.8</v>
      </c>
      <c r="C11" s="22">
        <f>6192.71+177+2300.5</f>
        <v>8670.21</v>
      </c>
      <c r="D11" s="23">
        <f t="shared" si="0"/>
        <v>24393.01</v>
      </c>
      <c r="E11" s="24">
        <f t="shared" si="1"/>
        <v>731.7902999999999</v>
      </c>
      <c r="F11" s="25">
        <f t="shared" si="2"/>
        <v>1463.5805999999998</v>
      </c>
      <c r="G11" s="24">
        <v>3691</v>
      </c>
      <c r="H11" s="24">
        <v>1380</v>
      </c>
      <c r="I11" s="24">
        <v>0</v>
      </c>
      <c r="J11" s="24">
        <v>2216.93</v>
      </c>
      <c r="K11" s="24">
        <v>1200</v>
      </c>
      <c r="L11" s="24">
        <f t="shared" si="3"/>
        <v>3658.9514999999997</v>
      </c>
      <c r="M11" s="25">
        <f t="shared" si="4"/>
        <v>14342.2524</v>
      </c>
      <c r="N11" s="11">
        <f t="shared" si="5"/>
        <v>10050.757599999999</v>
      </c>
      <c r="O11" s="28">
        <f>1009.4+29.5+251.75</f>
        <v>1290.65</v>
      </c>
    </row>
    <row r="12" spans="1:15" ht="12.75">
      <c r="A12" s="20" t="s">
        <v>4</v>
      </c>
      <c r="B12" s="21">
        <f>8436.6+815.4+1242</f>
        <v>10494</v>
      </c>
      <c r="C12" s="22">
        <f>4218.3+407.7+621</f>
        <v>5247</v>
      </c>
      <c r="D12" s="23">
        <f t="shared" si="0"/>
        <v>15741</v>
      </c>
      <c r="E12" s="24">
        <f t="shared" si="1"/>
        <v>472.22999999999996</v>
      </c>
      <c r="F12" s="25">
        <f t="shared" si="2"/>
        <v>944.4599999999999</v>
      </c>
      <c r="G12" s="24">
        <v>3691</v>
      </c>
      <c r="H12" s="24">
        <v>1380</v>
      </c>
      <c r="I12" s="24">
        <v>0</v>
      </c>
      <c r="J12" s="24">
        <v>2216.93</v>
      </c>
      <c r="K12" s="24">
        <v>18000</v>
      </c>
      <c r="L12" s="24">
        <f t="shared" si="3"/>
        <v>2361.15</v>
      </c>
      <c r="M12" s="25">
        <f t="shared" si="4"/>
        <v>29065.77</v>
      </c>
      <c r="N12" s="11">
        <f t="shared" si="5"/>
        <v>-13324.77</v>
      </c>
      <c r="O12" s="28">
        <f>702.82+67.98+103.54</f>
        <v>874.34</v>
      </c>
    </row>
    <row r="13" spans="1:15" ht="12.75">
      <c r="A13" s="20" t="s">
        <v>5</v>
      </c>
      <c r="B13" s="21">
        <f>10198.2+442.2+1790.4</f>
        <v>12430.800000000001</v>
      </c>
      <c r="C13" s="22">
        <f>5099.1+221.1+852.4</f>
        <v>6172.6</v>
      </c>
      <c r="D13" s="23">
        <f t="shared" si="0"/>
        <v>18603.4</v>
      </c>
      <c r="E13" s="24">
        <f t="shared" si="1"/>
        <v>558.102</v>
      </c>
      <c r="F13" s="25">
        <f t="shared" si="2"/>
        <v>1116.204</v>
      </c>
      <c r="G13" s="24">
        <v>3691</v>
      </c>
      <c r="H13" s="24">
        <v>1380</v>
      </c>
      <c r="I13" s="24">
        <v>0</v>
      </c>
      <c r="J13" s="24">
        <v>2216.93</v>
      </c>
      <c r="K13" s="24">
        <f>900+690</f>
        <v>1590</v>
      </c>
      <c r="L13" s="24">
        <f t="shared" si="3"/>
        <v>2790.51</v>
      </c>
      <c r="M13" s="25">
        <f t="shared" si="4"/>
        <v>13342.746000000001</v>
      </c>
      <c r="N13" s="11">
        <f t="shared" si="5"/>
        <v>5260.654</v>
      </c>
      <c r="O13" s="28">
        <f>849.97+36.86+127.8</f>
        <v>1014.63</v>
      </c>
    </row>
    <row r="14" spans="1:15" ht="12.75">
      <c r="A14" s="20" t="s">
        <v>6</v>
      </c>
      <c r="B14" s="21">
        <f>9780.6+1315.2+2786.8</f>
        <v>13882.600000000002</v>
      </c>
      <c r="C14" s="22">
        <f>4890.3+657.6+1509.83</f>
        <v>7057.7300000000005</v>
      </c>
      <c r="D14" s="23">
        <f t="shared" si="0"/>
        <v>20940.33</v>
      </c>
      <c r="E14" s="24">
        <f t="shared" si="1"/>
        <v>628.2099000000001</v>
      </c>
      <c r="F14" s="25">
        <f t="shared" si="2"/>
        <v>1256.4198000000001</v>
      </c>
      <c r="G14" s="24">
        <v>3691</v>
      </c>
      <c r="H14" s="24">
        <v>1380</v>
      </c>
      <c r="I14" s="24">
        <f>11826</f>
        <v>11826</v>
      </c>
      <c r="J14" s="24">
        <v>2216.93</v>
      </c>
      <c r="K14" s="24">
        <f>21500+445</f>
        <v>21945</v>
      </c>
      <c r="L14" s="24">
        <f t="shared" si="3"/>
        <v>3141.0495</v>
      </c>
      <c r="M14" s="25">
        <f t="shared" si="4"/>
        <v>46084.6092</v>
      </c>
      <c r="N14" s="11">
        <f t="shared" si="5"/>
        <v>-25144.279199999997</v>
      </c>
      <c r="O14" s="28">
        <f>815.17+109.61+148.94</f>
        <v>1073.72</v>
      </c>
    </row>
    <row r="15" spans="1:15" ht="12.75">
      <c r="A15" s="20" t="s">
        <v>7</v>
      </c>
      <c r="B15" s="21">
        <f>9660.6+1622.4</f>
        <v>11283</v>
      </c>
      <c r="C15" s="22">
        <f>4830.3+811.2</f>
        <v>5641.5</v>
      </c>
      <c r="D15" s="23">
        <f t="shared" si="0"/>
        <v>16924.5</v>
      </c>
      <c r="E15" s="24">
        <f t="shared" si="1"/>
        <v>507.73499999999996</v>
      </c>
      <c r="F15" s="25">
        <f t="shared" si="2"/>
        <v>1015.4699999999999</v>
      </c>
      <c r="G15" s="24">
        <v>3691</v>
      </c>
      <c r="H15" s="24">
        <v>1380</v>
      </c>
      <c r="I15" s="24">
        <v>0</v>
      </c>
      <c r="J15" s="24">
        <v>2216.93</v>
      </c>
      <c r="K15" s="24">
        <v>900</v>
      </c>
      <c r="L15" s="24">
        <f t="shared" si="3"/>
        <v>2538.6749999999997</v>
      </c>
      <c r="M15" s="25">
        <f t="shared" si="4"/>
        <v>12249.81</v>
      </c>
      <c r="N15" s="11">
        <f t="shared" si="5"/>
        <v>4674.6900000000005</v>
      </c>
      <c r="O15" s="28">
        <f>805.15+135.2</f>
        <v>940.3499999999999</v>
      </c>
    </row>
    <row r="16" spans="1:15" ht="12.75">
      <c r="A16" s="20" t="s">
        <v>8</v>
      </c>
      <c r="B16" s="21">
        <f>9640.8+1080.6</f>
        <v>10721.4</v>
      </c>
      <c r="C16" s="22">
        <f>4820.4+540.3</f>
        <v>5360.7</v>
      </c>
      <c r="D16" s="23">
        <f t="shared" si="0"/>
        <v>16082.099999999999</v>
      </c>
      <c r="E16" s="24">
        <f t="shared" si="1"/>
        <v>482.46299999999997</v>
      </c>
      <c r="F16" s="25">
        <f t="shared" si="2"/>
        <v>964.9259999999999</v>
      </c>
      <c r="G16" s="24">
        <v>3691</v>
      </c>
      <c r="H16" s="24">
        <v>1380</v>
      </c>
      <c r="I16" s="24">
        <f>2367+89145+2105</f>
        <v>93617</v>
      </c>
      <c r="J16" s="24">
        <v>2216.93</v>
      </c>
      <c r="K16" s="24">
        <v>780</v>
      </c>
      <c r="L16" s="24">
        <f t="shared" si="3"/>
        <v>2412.3149999999996</v>
      </c>
      <c r="M16" s="25">
        <f t="shared" si="4"/>
        <v>105544.63399999999</v>
      </c>
      <c r="N16" s="11">
        <f t="shared" si="5"/>
        <v>-89462.53399999999</v>
      </c>
      <c r="O16" s="28">
        <f>803.38+90.05</f>
        <v>893.43</v>
      </c>
    </row>
    <row r="17" spans="1:15" ht="12.75">
      <c r="A17" s="20" t="s">
        <v>20</v>
      </c>
      <c r="B17" s="21">
        <f>10696.8+3703.8</f>
        <v>14400.599999999999</v>
      </c>
      <c r="C17" s="22">
        <f>5677.45+1664.1</f>
        <v>7341.549999999999</v>
      </c>
      <c r="D17" s="23">
        <f t="shared" si="0"/>
        <v>21742.149999999998</v>
      </c>
      <c r="E17" s="24">
        <f t="shared" si="1"/>
        <v>652.2644999999999</v>
      </c>
      <c r="F17" s="25">
        <f t="shared" si="2"/>
        <v>1304.5289999999998</v>
      </c>
      <c r="G17" s="24">
        <v>3691</v>
      </c>
      <c r="H17" s="24">
        <v>1380</v>
      </c>
      <c r="I17" s="24">
        <v>0</v>
      </c>
      <c r="J17" s="24">
        <v>2216.93</v>
      </c>
      <c r="K17" s="24">
        <f>1200+2900</f>
        <v>4100</v>
      </c>
      <c r="L17" s="24">
        <f t="shared" si="3"/>
        <v>3261.3224999999998</v>
      </c>
      <c r="M17" s="25">
        <f t="shared" si="4"/>
        <v>16606.046</v>
      </c>
      <c r="N17" s="11">
        <f t="shared" si="5"/>
        <v>5136.103999999999</v>
      </c>
      <c r="O17" s="28">
        <f>891.41+277.35</f>
        <v>1168.76</v>
      </c>
    </row>
    <row r="18" spans="1:15" ht="12.75">
      <c r="A18" s="20" t="s">
        <v>22</v>
      </c>
      <c r="B18" s="21">
        <f>10447.2+1993.2</f>
        <v>12440.400000000001</v>
      </c>
      <c r="C18" s="22">
        <f>6087.3+996.6</f>
        <v>7083.900000000001</v>
      </c>
      <c r="D18" s="23">
        <f t="shared" si="0"/>
        <v>19524.300000000003</v>
      </c>
      <c r="E18" s="24">
        <f t="shared" si="1"/>
        <v>585.729</v>
      </c>
      <c r="F18" s="25">
        <f t="shared" si="2"/>
        <v>1171.458</v>
      </c>
      <c r="G18" s="24">
        <v>3691</v>
      </c>
      <c r="H18" s="24">
        <v>1380</v>
      </c>
      <c r="I18" s="24">
        <f>832+729</f>
        <v>1561</v>
      </c>
      <c r="J18" s="24">
        <v>2216.93</v>
      </c>
      <c r="K18" s="24">
        <f>1200+3000</f>
        <v>4200</v>
      </c>
      <c r="L18" s="24">
        <f t="shared" si="3"/>
        <v>2928.6450000000004</v>
      </c>
      <c r="M18" s="25">
        <f t="shared" si="4"/>
        <v>17734.762000000002</v>
      </c>
      <c r="N18" s="11">
        <f t="shared" si="5"/>
        <v>1789.5380000000005</v>
      </c>
      <c r="O18" s="28">
        <f>557.81+166.97</f>
        <v>724.78</v>
      </c>
    </row>
    <row r="19" spans="1:15" ht="12.75">
      <c r="A19" s="20" t="s">
        <v>23</v>
      </c>
      <c r="B19" s="21">
        <f>11801.4+833.4</f>
        <v>12634.8</v>
      </c>
      <c r="C19" s="22">
        <f>6826.6+728.88</f>
        <v>7555.4800000000005</v>
      </c>
      <c r="D19" s="23">
        <f t="shared" si="0"/>
        <v>20190.28</v>
      </c>
      <c r="E19" s="24">
        <f t="shared" si="1"/>
        <v>605.7084</v>
      </c>
      <c r="F19" s="25">
        <f t="shared" si="2"/>
        <v>1211.4168</v>
      </c>
      <c r="G19" s="24">
        <v>3691</v>
      </c>
      <c r="H19" s="24">
        <v>1380</v>
      </c>
      <c r="I19" s="24">
        <v>0</v>
      </c>
      <c r="J19" s="24">
        <v>2216.93</v>
      </c>
      <c r="K19" s="24">
        <v>1200</v>
      </c>
      <c r="L19" s="24">
        <f t="shared" si="3"/>
        <v>3028.542</v>
      </c>
      <c r="M19" s="25">
        <f t="shared" si="4"/>
        <v>13333.5972</v>
      </c>
      <c r="N19" s="11">
        <f t="shared" si="5"/>
        <v>6856.682799999999</v>
      </c>
      <c r="O19" s="28">
        <f>58.62+29.42</f>
        <v>88.03999999999999</v>
      </c>
    </row>
    <row r="20" spans="1:15" ht="12.75">
      <c r="A20" s="26" t="s">
        <v>37</v>
      </c>
      <c r="B20" s="21">
        <f>6000+6000+6000+6000</f>
        <v>24000</v>
      </c>
      <c r="C20" s="22">
        <v>0</v>
      </c>
      <c r="D20" s="23">
        <f t="shared" si="0"/>
        <v>24000</v>
      </c>
      <c r="E20" s="24">
        <v>0</v>
      </c>
      <c r="F20" s="25">
        <f t="shared" si="2"/>
        <v>1440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f t="shared" si="3"/>
        <v>3600</v>
      </c>
      <c r="M20" s="25">
        <f t="shared" si="4"/>
        <v>5040</v>
      </c>
      <c r="N20" s="11">
        <f t="shared" si="5"/>
        <v>18960</v>
      </c>
      <c r="O20" s="28">
        <v>0</v>
      </c>
    </row>
    <row r="21" spans="1:15" ht="12.75">
      <c r="A21" s="42" t="s">
        <v>53</v>
      </c>
      <c r="B21" s="21">
        <f>300+900+900+900</f>
        <v>3000</v>
      </c>
      <c r="C21" s="22">
        <v>0</v>
      </c>
      <c r="D21" s="23">
        <f t="shared" si="0"/>
        <v>3000</v>
      </c>
      <c r="E21" s="24">
        <v>0</v>
      </c>
      <c r="F21" s="25">
        <f t="shared" si="2"/>
        <v>180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f t="shared" si="3"/>
        <v>450</v>
      </c>
      <c r="M21" s="25">
        <f t="shared" si="4"/>
        <v>630</v>
      </c>
      <c r="N21" s="11">
        <f t="shared" si="5"/>
        <v>2370</v>
      </c>
      <c r="O21" s="28">
        <v>0</v>
      </c>
    </row>
    <row r="22" spans="1:15" ht="12.75">
      <c r="A22" s="14" t="s">
        <v>21</v>
      </c>
      <c r="B22" s="19">
        <f>SUM(B8:B21)</f>
        <v>176641.59999999998</v>
      </c>
      <c r="C22" s="19">
        <f>SUM(C8:C21)</f>
        <v>77927.45999999999</v>
      </c>
      <c r="D22" s="19">
        <f>SUM(D7:D21)</f>
        <v>431942.05000000005</v>
      </c>
      <c r="E22" s="19">
        <f aca="true" t="shared" si="6" ref="E22:M22">SUM(E8:E21)</f>
        <v>6827.0718</v>
      </c>
      <c r="F22" s="19">
        <f t="shared" si="6"/>
        <v>15274.1436</v>
      </c>
      <c r="G22" s="19">
        <f t="shared" si="6"/>
        <v>44292</v>
      </c>
      <c r="H22" s="19">
        <f t="shared" si="6"/>
        <v>16560</v>
      </c>
      <c r="I22" s="19">
        <f t="shared" si="6"/>
        <v>107004</v>
      </c>
      <c r="J22" s="19">
        <f t="shared" si="6"/>
        <v>26603.16</v>
      </c>
      <c r="K22" s="19">
        <f t="shared" si="6"/>
        <v>122515</v>
      </c>
      <c r="L22" s="19">
        <f t="shared" si="6"/>
        <v>38185.359</v>
      </c>
      <c r="M22" s="19">
        <f t="shared" si="6"/>
        <v>377260.73439999996</v>
      </c>
      <c r="N22" s="15">
        <f>D22-M22</f>
        <v>54681.31560000009</v>
      </c>
      <c r="O22" s="12">
        <f>SUM(O7:O21)</f>
        <v>48389.48</v>
      </c>
    </row>
    <row r="23" ht="12.75">
      <c r="O23" s="16">
        <f>O22*0.91</f>
        <v>44034.4268</v>
      </c>
    </row>
    <row r="24" spans="12:15" ht="12.75">
      <c r="L24" t="s">
        <v>3</v>
      </c>
      <c r="M24" t="s">
        <v>85</v>
      </c>
      <c r="O24" s="28">
        <v>32863</v>
      </c>
    </row>
    <row r="25" spans="2:15" ht="12.75">
      <c r="B25" t="s">
        <v>2</v>
      </c>
      <c r="C25" t="s">
        <v>51</v>
      </c>
      <c r="D25" t="s">
        <v>52</v>
      </c>
      <c r="L25" t="s">
        <v>6</v>
      </c>
      <c r="M25" t="s">
        <v>43</v>
      </c>
      <c r="O25" s="28">
        <v>125</v>
      </c>
    </row>
    <row r="26" spans="2:15" ht="12.75">
      <c r="B26" t="s">
        <v>4</v>
      </c>
      <c r="C26" t="s">
        <v>54</v>
      </c>
      <c r="D26" t="s">
        <v>55</v>
      </c>
      <c r="L26" t="s">
        <v>6</v>
      </c>
      <c r="M26" s="27" t="s">
        <v>86</v>
      </c>
      <c r="O26" s="28">
        <v>2293</v>
      </c>
    </row>
    <row r="27" spans="2:15" ht="12.75">
      <c r="B27" t="s">
        <v>5</v>
      </c>
      <c r="C27" t="s">
        <v>56</v>
      </c>
      <c r="D27" t="s">
        <v>57</v>
      </c>
      <c r="L27" t="s">
        <v>7</v>
      </c>
      <c r="M27" t="s">
        <v>87</v>
      </c>
      <c r="O27" s="28">
        <v>7639</v>
      </c>
    </row>
    <row r="28" spans="2:15" ht="12.75">
      <c r="B28" t="s">
        <v>6</v>
      </c>
      <c r="C28" t="s">
        <v>58</v>
      </c>
      <c r="D28" t="s">
        <v>59</v>
      </c>
      <c r="L28" t="s">
        <v>7</v>
      </c>
      <c r="M28" s="1" t="s">
        <v>88</v>
      </c>
      <c r="O28" s="28">
        <v>802</v>
      </c>
    </row>
    <row r="29" spans="3:15" ht="12.75">
      <c r="C29" t="s">
        <v>60</v>
      </c>
      <c r="D29" t="s">
        <v>61</v>
      </c>
      <c r="L29" t="s">
        <v>8</v>
      </c>
      <c r="M29" s="1" t="s">
        <v>43</v>
      </c>
      <c r="O29" s="28">
        <v>135</v>
      </c>
    </row>
    <row r="30" spans="2:15" ht="12.75">
      <c r="B30" t="s">
        <v>7</v>
      </c>
      <c r="C30" t="s">
        <v>79</v>
      </c>
      <c r="D30" t="s">
        <v>80</v>
      </c>
      <c r="M30" s="1"/>
      <c r="O30" s="62">
        <f>SUM(O24:O29)</f>
        <v>43857</v>
      </c>
    </row>
    <row r="31" spans="2:15" ht="12.75">
      <c r="B31" t="s">
        <v>8</v>
      </c>
      <c r="C31" t="s">
        <v>81</v>
      </c>
      <c r="D31" t="s">
        <v>82</v>
      </c>
      <c r="M31" s="1"/>
      <c r="N31" s="64" t="s">
        <v>84</v>
      </c>
      <c r="O31" s="65">
        <f>O23-O30</f>
        <v>177.4268000000011</v>
      </c>
    </row>
    <row r="32" spans="2:13" ht="12.75">
      <c r="B32" t="s">
        <v>20</v>
      </c>
      <c r="C32" t="s">
        <v>93</v>
      </c>
      <c r="D32" t="s">
        <v>94</v>
      </c>
      <c r="J32" s="72"/>
      <c r="M32" s="1"/>
    </row>
    <row r="33" spans="2:13" ht="12.75">
      <c r="B33" t="s">
        <v>22</v>
      </c>
      <c r="C33" t="s">
        <v>95</v>
      </c>
      <c r="D33" t="s">
        <v>96</v>
      </c>
      <c r="M33" s="1"/>
    </row>
    <row r="34" spans="11:13" ht="12.75">
      <c r="K34" s="64" t="s">
        <v>97</v>
      </c>
      <c r="M34" s="71">
        <f>N22+O31</f>
        <v>54858.74240000009</v>
      </c>
    </row>
    <row r="35" ht="12.75">
      <c r="M35" s="1"/>
    </row>
    <row r="36" ht="12.75">
      <c r="M36" s="1"/>
    </row>
    <row r="37" ht="12.75">
      <c r="M37" s="1"/>
    </row>
    <row r="38" ht="12.75">
      <c r="M38" s="1"/>
    </row>
    <row r="39" spans="4:18" ht="12.75">
      <c r="D39" s="80" t="s">
        <v>29</v>
      </c>
      <c r="E39" s="80"/>
      <c r="F39" s="80"/>
      <c r="G39" s="80"/>
      <c r="H39" s="80"/>
      <c r="I39" s="80"/>
      <c r="J39" s="80"/>
      <c r="K39" s="80"/>
      <c r="L39" s="80"/>
      <c r="O39" s="62"/>
      <c r="Q39" s="63"/>
      <c r="R39" s="63"/>
    </row>
    <row r="45" spans="1:15" ht="12.75">
      <c r="A45" s="93" t="s">
        <v>46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</row>
    <row r="46" spans="1:15" ht="38.25">
      <c r="A46" s="29" t="s">
        <v>30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2" t="s">
        <v>31</v>
      </c>
      <c r="N46" s="35" t="s">
        <v>32</v>
      </c>
      <c r="O46" s="34" t="s">
        <v>44</v>
      </c>
    </row>
    <row r="47" spans="1:15" ht="12.75">
      <c r="A47" s="32" t="s">
        <v>3</v>
      </c>
      <c r="B47" s="89" t="s">
        <v>47</v>
      </c>
      <c r="C47" s="90"/>
      <c r="D47" s="90"/>
      <c r="E47" s="90"/>
      <c r="F47" s="90"/>
      <c r="G47" s="90"/>
      <c r="H47" s="90"/>
      <c r="I47" s="90"/>
      <c r="J47" s="90"/>
      <c r="K47" s="90"/>
      <c r="L47" s="91"/>
      <c r="M47" s="33" t="s">
        <v>36</v>
      </c>
      <c r="N47" s="30">
        <v>0.12</v>
      </c>
      <c r="O47" s="12"/>
    </row>
    <row r="48" spans="1:23" ht="12.75">
      <c r="A48" s="29"/>
      <c r="B48" s="81" t="s">
        <v>48</v>
      </c>
      <c r="C48" s="82"/>
      <c r="D48" s="82"/>
      <c r="E48" s="82"/>
      <c r="F48" s="82"/>
      <c r="G48" s="82"/>
      <c r="H48" s="82"/>
      <c r="I48" s="82"/>
      <c r="J48" s="82"/>
      <c r="K48" s="82"/>
      <c r="L48" s="83"/>
      <c r="M48" s="33" t="s">
        <v>36</v>
      </c>
      <c r="N48" s="41">
        <v>0.1</v>
      </c>
      <c r="O48" s="31"/>
      <c r="W48" s="1"/>
    </row>
    <row r="49" spans="1:23" ht="12.75">
      <c r="A49" s="33"/>
      <c r="B49" s="92" t="s">
        <v>49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33" t="s">
        <v>50</v>
      </c>
      <c r="N49" s="33">
        <v>0.36</v>
      </c>
      <c r="O49" s="12"/>
      <c r="W49" s="1"/>
    </row>
    <row r="50" spans="1:15" ht="12.75">
      <c r="A50" s="36" t="s">
        <v>33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  <c r="N50" s="39" t="s">
        <v>34</v>
      </c>
      <c r="O50" s="40">
        <v>32.863</v>
      </c>
    </row>
    <row r="51" spans="1:15" ht="12.75">
      <c r="A51" s="48" t="s">
        <v>6</v>
      </c>
      <c r="B51" s="92" t="s">
        <v>43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33" t="s">
        <v>40</v>
      </c>
      <c r="N51" s="33">
        <v>0.01</v>
      </c>
      <c r="O51" s="12"/>
    </row>
    <row r="52" spans="1:15" ht="12.75">
      <c r="A52" s="43" t="s">
        <v>33</v>
      </c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6" t="s">
        <v>34</v>
      </c>
      <c r="O52" s="47">
        <v>0.125</v>
      </c>
    </row>
    <row r="53" spans="1:15" ht="28.5" customHeight="1">
      <c r="A53" s="48" t="s">
        <v>6</v>
      </c>
      <c r="B53" s="84" t="s">
        <v>42</v>
      </c>
      <c r="C53" s="85"/>
      <c r="D53" s="85"/>
      <c r="E53" s="85"/>
      <c r="F53" s="85"/>
      <c r="G53" s="85"/>
      <c r="H53" s="85"/>
      <c r="I53" s="85"/>
      <c r="J53" s="85"/>
      <c r="K53" s="85"/>
      <c r="L53" s="86"/>
      <c r="M53" s="33" t="s">
        <v>41</v>
      </c>
      <c r="N53" s="49">
        <v>2.9</v>
      </c>
      <c r="O53" s="12"/>
    </row>
    <row r="54" spans="1:15" ht="12.75">
      <c r="A54" s="43" t="s">
        <v>33</v>
      </c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6"/>
      <c r="N54" s="46" t="s">
        <v>34</v>
      </c>
      <c r="O54" s="50">
        <v>11.826</v>
      </c>
    </row>
    <row r="55" spans="1:15" ht="12.75">
      <c r="A55" s="48" t="s">
        <v>6</v>
      </c>
      <c r="B55" s="84" t="s">
        <v>83</v>
      </c>
      <c r="C55" s="85"/>
      <c r="D55" s="85"/>
      <c r="E55" s="85"/>
      <c r="F55" s="85"/>
      <c r="G55" s="85"/>
      <c r="H55" s="85"/>
      <c r="I55" s="85"/>
      <c r="J55" s="85"/>
      <c r="K55" s="85"/>
      <c r="L55" s="86"/>
      <c r="M55" s="33" t="s">
        <v>41</v>
      </c>
      <c r="N55" s="51">
        <v>0.053</v>
      </c>
      <c r="O55" s="12" t="s">
        <v>62</v>
      </c>
    </row>
    <row r="56" spans="1:15" ht="12.75">
      <c r="A56" s="43" t="s">
        <v>33</v>
      </c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46" t="s">
        <v>34</v>
      </c>
      <c r="O56" s="50">
        <v>2.293</v>
      </c>
    </row>
    <row r="57" spans="1:15" ht="12.75">
      <c r="A57" s="48" t="s">
        <v>7</v>
      </c>
      <c r="B57" s="84" t="s">
        <v>63</v>
      </c>
      <c r="C57" s="85"/>
      <c r="D57" s="85"/>
      <c r="E57" s="85"/>
      <c r="F57" s="85"/>
      <c r="G57" s="85"/>
      <c r="H57" s="85"/>
      <c r="I57" s="85"/>
      <c r="J57" s="85"/>
      <c r="K57" s="85"/>
      <c r="L57" s="86"/>
      <c r="M57" s="33" t="s">
        <v>64</v>
      </c>
      <c r="N57" s="49">
        <v>0.3</v>
      </c>
      <c r="O57" s="12" t="s">
        <v>65</v>
      </c>
    </row>
    <row r="58" spans="1:15" ht="12.75">
      <c r="A58" s="52" t="s">
        <v>33</v>
      </c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5" t="s">
        <v>34</v>
      </c>
      <c r="O58" s="56">
        <v>7.639</v>
      </c>
    </row>
    <row r="59" spans="1:15" ht="12.75">
      <c r="A59" s="48" t="s">
        <v>7</v>
      </c>
      <c r="B59" s="84" t="s">
        <v>66</v>
      </c>
      <c r="C59" s="85"/>
      <c r="D59" s="85"/>
      <c r="E59" s="85"/>
      <c r="F59" s="85"/>
      <c r="G59" s="85"/>
      <c r="H59" s="85"/>
      <c r="I59" s="85"/>
      <c r="J59" s="85"/>
      <c r="K59" s="85"/>
      <c r="L59" s="86"/>
      <c r="M59" s="33" t="s">
        <v>41</v>
      </c>
      <c r="N59" s="33">
        <v>0.08</v>
      </c>
      <c r="O59" s="12"/>
    </row>
    <row r="60" spans="1:15" ht="12.75">
      <c r="A60" s="52" t="s">
        <v>33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5" t="s">
        <v>34</v>
      </c>
      <c r="O60" s="56">
        <v>0.802</v>
      </c>
    </row>
    <row r="61" spans="1:15" ht="12.75">
      <c r="A61" s="48" t="s">
        <v>8</v>
      </c>
      <c r="B61" s="84" t="s">
        <v>68</v>
      </c>
      <c r="C61" s="85"/>
      <c r="D61" s="85"/>
      <c r="E61" s="85"/>
      <c r="F61" s="85"/>
      <c r="G61" s="85"/>
      <c r="H61" s="85"/>
      <c r="I61" s="85"/>
      <c r="J61" s="85"/>
      <c r="K61" s="85"/>
      <c r="L61" s="86"/>
      <c r="M61" s="33" t="s">
        <v>41</v>
      </c>
      <c r="N61" s="33">
        <v>0.02</v>
      </c>
      <c r="O61" s="12" t="s">
        <v>67</v>
      </c>
    </row>
    <row r="62" spans="1:15" ht="12.75">
      <c r="A62" s="48"/>
      <c r="B62" s="88" t="s">
        <v>69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33" t="s">
        <v>41</v>
      </c>
      <c r="N62" s="33">
        <v>0.02</v>
      </c>
      <c r="O62" s="12"/>
    </row>
    <row r="63" spans="1:15" ht="12.75">
      <c r="A63" s="57" t="s">
        <v>33</v>
      </c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60"/>
      <c r="N63" s="60" t="s">
        <v>34</v>
      </c>
      <c r="O63" s="61">
        <v>2.367</v>
      </c>
    </row>
    <row r="64" spans="1:15" ht="12.75">
      <c r="A64" s="48" t="s">
        <v>8</v>
      </c>
      <c r="B64" s="84" t="s">
        <v>70</v>
      </c>
      <c r="C64" s="85"/>
      <c r="D64" s="85"/>
      <c r="E64" s="85"/>
      <c r="F64" s="85"/>
      <c r="G64" s="85"/>
      <c r="H64" s="85"/>
      <c r="I64" s="85"/>
      <c r="J64" s="85"/>
      <c r="K64" s="85"/>
      <c r="L64" s="86"/>
      <c r="M64" s="33" t="s">
        <v>36</v>
      </c>
      <c r="N64" s="33">
        <v>0.12</v>
      </c>
      <c r="O64" s="12"/>
    </row>
    <row r="65" spans="1:15" ht="12.75">
      <c r="A65" s="48"/>
      <c r="B65" s="88" t="s">
        <v>71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33" t="s">
        <v>36</v>
      </c>
      <c r="N65" s="33">
        <v>0.09</v>
      </c>
      <c r="O65" s="12"/>
    </row>
    <row r="66" spans="1:15" ht="12.75">
      <c r="A66" s="48"/>
      <c r="B66" s="88" t="s">
        <v>72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33" t="s">
        <v>36</v>
      </c>
      <c r="N66" s="49">
        <v>0.4</v>
      </c>
      <c r="O66" s="12"/>
    </row>
    <row r="67" spans="1:15" ht="12.75">
      <c r="A67" s="48"/>
      <c r="B67" s="88" t="s">
        <v>75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33" t="s">
        <v>36</v>
      </c>
      <c r="N67" s="49">
        <v>3.3</v>
      </c>
      <c r="O67" s="12"/>
    </row>
    <row r="68" spans="1:15" ht="12.75">
      <c r="A68" s="48"/>
      <c r="B68" s="88" t="s">
        <v>73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33" t="s">
        <v>36</v>
      </c>
      <c r="N68" s="49">
        <v>2.7</v>
      </c>
      <c r="O68" s="12"/>
    </row>
    <row r="69" spans="1:15" ht="12.75">
      <c r="A69" s="48"/>
      <c r="B69" s="88" t="s">
        <v>74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33" t="s">
        <v>36</v>
      </c>
      <c r="N69" s="51">
        <v>0.045</v>
      </c>
      <c r="O69" s="12"/>
    </row>
    <row r="70" spans="1:15" ht="12.75">
      <c r="A70" s="48"/>
      <c r="B70" s="88" t="s">
        <v>76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33" t="s">
        <v>36</v>
      </c>
      <c r="N70" s="33">
        <v>0.45</v>
      </c>
      <c r="O70" s="12"/>
    </row>
    <row r="71" spans="1:15" ht="12.75">
      <c r="A71" s="57" t="s">
        <v>33</v>
      </c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60" t="s">
        <v>34</v>
      </c>
      <c r="O71" s="61">
        <v>89.145</v>
      </c>
    </row>
    <row r="72" spans="1:15" ht="12.75">
      <c r="A72" s="48" t="s">
        <v>8</v>
      </c>
      <c r="B72" s="88" t="s">
        <v>78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33" t="s">
        <v>40</v>
      </c>
      <c r="N72" s="33">
        <v>0.01</v>
      </c>
      <c r="O72" s="12" t="s">
        <v>77</v>
      </c>
    </row>
    <row r="73" spans="1:15" ht="12.75">
      <c r="A73" s="57" t="s">
        <v>33</v>
      </c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60"/>
      <c r="N73" s="60" t="s">
        <v>34</v>
      </c>
      <c r="O73" s="61">
        <v>0.135</v>
      </c>
    </row>
    <row r="74" spans="1:15" ht="12.75">
      <c r="A74" s="48" t="s">
        <v>8</v>
      </c>
      <c r="B74" s="88" t="s">
        <v>35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33" t="s">
        <v>36</v>
      </c>
      <c r="N74" s="33">
        <v>5</v>
      </c>
      <c r="O74" s="12"/>
    </row>
    <row r="75" spans="1:15" ht="12.75">
      <c r="A75" s="57" t="s">
        <v>33</v>
      </c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60"/>
      <c r="N75" s="60" t="s">
        <v>34</v>
      </c>
      <c r="O75" s="61">
        <v>2.105</v>
      </c>
    </row>
    <row r="76" spans="1:15" ht="12.75">
      <c r="A76" s="48" t="s">
        <v>22</v>
      </c>
      <c r="B76" s="88" t="s">
        <v>89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33" t="s">
        <v>41</v>
      </c>
      <c r="N76" s="33">
        <v>0.08</v>
      </c>
      <c r="O76" s="12" t="s">
        <v>90</v>
      </c>
    </row>
    <row r="77" spans="1:15" ht="12.75">
      <c r="A77" s="66" t="s">
        <v>33</v>
      </c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9"/>
      <c r="N77" s="69" t="s">
        <v>34</v>
      </c>
      <c r="O77" s="70">
        <v>0.832</v>
      </c>
    </row>
    <row r="78" spans="1:15" ht="12.75">
      <c r="A78" s="48" t="s">
        <v>22</v>
      </c>
      <c r="B78" s="88" t="s">
        <v>91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33" t="s">
        <v>92</v>
      </c>
      <c r="N78" s="33">
        <v>0.03</v>
      </c>
      <c r="O78" s="12"/>
    </row>
    <row r="79" spans="1:15" ht="12.75">
      <c r="A79" s="66" t="s">
        <v>33</v>
      </c>
      <c r="B79" s="6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  <c r="N79" s="69" t="s">
        <v>34</v>
      </c>
      <c r="O79" s="70">
        <v>0.729</v>
      </c>
    </row>
    <row r="81" ht="12.75">
      <c r="O81" s="17"/>
    </row>
  </sheetData>
  <sheetProtection/>
  <mergeCells count="30">
    <mergeCell ref="B78:L78"/>
    <mergeCell ref="B76:L76"/>
    <mergeCell ref="P4:AB4"/>
    <mergeCell ref="B5:D5"/>
    <mergeCell ref="F5:F6"/>
    <mergeCell ref="J5:L5"/>
    <mergeCell ref="M5:M6"/>
    <mergeCell ref="B49:L49"/>
    <mergeCell ref="A4:O4"/>
    <mergeCell ref="B46:L46"/>
    <mergeCell ref="B47:L47"/>
    <mergeCell ref="D39:L39"/>
    <mergeCell ref="B61:L61"/>
    <mergeCell ref="B62:L62"/>
    <mergeCell ref="B59:L59"/>
    <mergeCell ref="B57:L57"/>
    <mergeCell ref="B51:L51"/>
    <mergeCell ref="B48:L48"/>
    <mergeCell ref="A45:O45"/>
    <mergeCell ref="B53:L53"/>
    <mergeCell ref="B74:L74"/>
    <mergeCell ref="B68:L68"/>
    <mergeCell ref="B69:L69"/>
    <mergeCell ref="B70:L70"/>
    <mergeCell ref="B72:L72"/>
    <mergeCell ref="B55:L55"/>
    <mergeCell ref="B66:L66"/>
    <mergeCell ref="B67:L67"/>
    <mergeCell ref="B64:L64"/>
    <mergeCell ref="B65:L65"/>
  </mergeCells>
  <printOptions/>
  <pageMargins left="0.4479166666666667" right="0.125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2015-02-09T05:34:28Z</cp:lastPrinted>
  <dcterms:created xsi:type="dcterms:W3CDTF">2007-02-04T12:22:59Z</dcterms:created>
  <dcterms:modified xsi:type="dcterms:W3CDTF">2015-02-09T11:12:57Z</dcterms:modified>
  <cp:category/>
  <cp:version/>
  <cp:contentType/>
  <cp:contentStatus/>
</cp:coreProperties>
</file>