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800" windowHeight="5655" activeTab="0"/>
  </bookViews>
  <sheets>
    <sheet name="2014" sheetId="1" r:id="rId1"/>
  </sheets>
  <definedNames>
    <definedName name="_xlnm.Print_Area" localSheetId="0">'2014'!$A$45:$Q$79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M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11218р-датчик движения</t>
        </r>
      </text>
    </comment>
  </commentList>
</comments>
</file>

<file path=xl/sharedStrings.xml><?xml version="1.0" encoding="utf-8"?>
<sst xmlns="http://schemas.openxmlformats.org/spreadsheetml/2006/main" count="156" uniqueCount="90">
  <si>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</si>
  <si>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</si>
  <si>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</si>
  <si>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</si>
  <si>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</si>
  <si>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</si>
  <si>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</si>
  <si>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</si>
  <si>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Остаток </t>
  </si>
  <si>
    <t xml:space="preserve">Оплата </t>
  </si>
  <si>
    <t>ЕРКЦ</t>
  </si>
  <si>
    <t>Налог</t>
  </si>
  <si>
    <t>Ремонт</t>
  </si>
  <si>
    <t xml:space="preserve">сметы </t>
  </si>
  <si>
    <t>Площадь</t>
  </si>
  <si>
    <t xml:space="preserve">Кол-во </t>
  </si>
  <si>
    <t>тер.</t>
  </si>
  <si>
    <t>квар.</t>
  </si>
  <si>
    <t>на конец</t>
  </si>
  <si>
    <t>Расходы</t>
  </si>
  <si>
    <t>разное</t>
  </si>
  <si>
    <t>Содержание</t>
  </si>
  <si>
    <t>ав.обсл.</t>
  </si>
  <si>
    <t>Ген. директор ООО "Георгиевск - ЖЭУ"                                            Никишина И.М.</t>
  </si>
  <si>
    <t>декабрь</t>
  </si>
  <si>
    <t>январь</t>
  </si>
  <si>
    <t>февраль</t>
  </si>
  <si>
    <t>март</t>
  </si>
  <si>
    <t>эксплуатац.</t>
  </si>
  <si>
    <t>Поступило от населения</t>
  </si>
  <si>
    <t>содержание</t>
  </si>
  <si>
    <t>ремонт</t>
  </si>
  <si>
    <t>итого</t>
  </si>
  <si>
    <t>кап.</t>
  </si>
  <si>
    <t>Месяц</t>
  </si>
  <si>
    <t>ед. изм.</t>
  </si>
  <si>
    <t>кол-во</t>
  </si>
  <si>
    <t>ИТОГО</t>
  </si>
  <si>
    <t>тыс.руб.</t>
  </si>
  <si>
    <t>1шт</t>
  </si>
  <si>
    <t>100м2</t>
  </si>
  <si>
    <t>100шт</t>
  </si>
  <si>
    <t>счетчика</t>
  </si>
  <si>
    <t>Обслужив</t>
  </si>
  <si>
    <t>Выкашивание газонов: газонокосилкой</t>
  </si>
  <si>
    <t>100м тр-да</t>
  </si>
  <si>
    <t>ростелеком</t>
  </si>
  <si>
    <t>отопление</t>
  </si>
  <si>
    <t>Гидравлическое испытание трубопроводов систем отопления, водопровода и горячего водоснабжения диаметром: до 100мм</t>
  </si>
  <si>
    <t>кв.51</t>
  </si>
  <si>
    <t>Учет доходов и расходов по Калинина 146/4 на 2014 год</t>
  </si>
  <si>
    <t>Место провед-я работ</t>
  </si>
  <si>
    <t>Перечень выполненных работ по сметам за 2014 год по дому Калинина 146/4</t>
  </si>
  <si>
    <t>кв.22</t>
  </si>
  <si>
    <t>Разборка трубопроводов из чугунных канализационных труб диаметром: 100мм</t>
  </si>
  <si>
    <t>Прокладка трубопроводов канализации из полиэтиленовых труб плотности диаметром: 110мм</t>
  </si>
  <si>
    <t>кв.28</t>
  </si>
  <si>
    <t>Разборка трубопроводов из водогазопроводных труб диаметром: до 32мм</t>
  </si>
  <si>
    <t>Установка вентилей, задвижек, затворов, клапанов обратных, кранов проходных на трубопроводах из стальных труб диаметром: до 25мм</t>
  </si>
  <si>
    <t>Прокладка трубопроводов водоснабжения из напорных полиэтиленовых труб низкого давления среднего типа наружным диаметром: 20мм</t>
  </si>
  <si>
    <t>Прокладка трубопроводов водоснабжения из напорных полиэтиленовых труб низкого давления среднего типа наружным диаметром: 32мм</t>
  </si>
  <si>
    <t>Установка вентилей, задвижек, затворов, клапанов обратных, кранов проходных на трубопроводах из стальных труб диаметром: 32 мм</t>
  </si>
  <si>
    <t>Смена электросчетчиков</t>
  </si>
  <si>
    <t>Прокладка трубопроводов канализации из полиэтиленовых труб плотности диаметром: 50мм</t>
  </si>
  <si>
    <t>кв.36</t>
  </si>
  <si>
    <t>Установка заглушек диаметром трубопроводов: до 100 мм</t>
  </si>
  <si>
    <t>100 заглушек</t>
  </si>
  <si>
    <t>Прокладка трубопроводов канализации из полиэтиленовых труб высокой плотности диаметром: 110мм</t>
  </si>
  <si>
    <t>Смена манжетов</t>
  </si>
  <si>
    <t>100 приборов</t>
  </si>
  <si>
    <t xml:space="preserve">август </t>
  </si>
  <si>
    <t>кв.20</t>
  </si>
  <si>
    <t>Ремонт групповых щитков на лестничной клетке со сменой автоматов</t>
  </si>
  <si>
    <t>Прокладка трубопроводов отопления из стальных водогазопроводных неоцинкованных труб диаметром: 50мм</t>
  </si>
  <si>
    <t>ввод х/в</t>
  </si>
  <si>
    <t>Врезка в действующие внутренние сети трубопроводов отопления и водоснабжения диаметром: 50мм</t>
  </si>
  <si>
    <t>1 врезка</t>
  </si>
  <si>
    <t>2 вызова</t>
  </si>
  <si>
    <t>Очистка канализационной сети: внутренней</t>
  </si>
  <si>
    <t>кв.54</t>
  </si>
  <si>
    <t>Прокладка трубопроводов</t>
  </si>
  <si>
    <t>Гидравлич.испытания</t>
  </si>
  <si>
    <t>Установка вентилей</t>
  </si>
  <si>
    <t>датчики движения</t>
  </si>
  <si>
    <t>ИТОГО:</t>
  </si>
  <si>
    <t>Разборка трубопроводов</t>
  </si>
  <si>
    <t>Ремонт щитков</t>
  </si>
  <si>
    <t>ИТОГО за 2014 год:</t>
  </si>
  <si>
    <t>11218р</t>
  </si>
  <si>
    <t>датчик движения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</si>
</sst>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  <numFmt numFmtId="168" formatCode="0.000"/>
    <numFmt numFmtId="169" formatCode="0.0"/>
    <numFmt numFmtId="170" formatCode="#,##0.0000_р_.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8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6AEF8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1" xfId="0" applyFont="1" applyBorder="1" applyAlignment="1">
      <alignment/>
    </xf>
    <xf numFmtId="1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1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32" borderId="12" xfId="0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164" fontId="1" fillId="33" borderId="12" xfId="0" applyNumberFormat="1" applyFont="1" applyFill="1" applyBorder="1" applyAlignment="1">
      <alignment/>
    </xf>
    <xf numFmtId="164" fontId="1" fillId="4" borderId="12" xfId="0" applyNumberFormat="1" applyFont="1" applyFill="1" applyBorder="1" applyAlignment="1">
      <alignment/>
    </xf>
    <xf numFmtId="164" fontId="1" fillId="0" borderId="12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0" fillId="0" borderId="11" xfId="0" applyNumberFormat="1" applyBorder="1" applyAlignment="1">
      <alignment horizontal="center"/>
    </xf>
    <xf numFmtId="0" fontId="0" fillId="5" borderId="12" xfId="0" applyFill="1" applyBorder="1" applyAlignment="1">
      <alignment/>
    </xf>
    <xf numFmtId="0" fontId="1" fillId="5" borderId="12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0" borderId="16" xfId="0" applyBorder="1" applyAlignment="1">
      <alignment/>
    </xf>
    <xf numFmtId="0" fontId="0" fillId="32" borderId="10" xfId="0" applyFill="1" applyBorder="1" applyAlignment="1">
      <alignment/>
    </xf>
    <xf numFmtId="2" fontId="0" fillId="0" borderId="16" xfId="0" applyNumberFormat="1" applyBorder="1" applyAlignment="1">
      <alignment/>
    </xf>
    <xf numFmtId="168" fontId="0" fillId="0" borderId="0" xfId="0" applyNumberFormat="1" applyAlignment="1">
      <alignment/>
    </xf>
    <xf numFmtId="164" fontId="0" fillId="5" borderId="17" xfId="0" applyNumberFormat="1" applyFill="1" applyBorder="1" applyAlignment="1">
      <alignment/>
    </xf>
    <xf numFmtId="0" fontId="0" fillId="34" borderId="17" xfId="0" applyFill="1" applyBorder="1" applyAlignment="1">
      <alignment/>
    </xf>
    <xf numFmtId="164" fontId="1" fillId="5" borderId="12" xfId="0" applyNumberFormat="1" applyFont="1" applyFill="1" applyBorder="1" applyAlignment="1">
      <alignment/>
    </xf>
    <xf numFmtId="2" fontId="2" fillId="0" borderId="12" xfId="0" applyNumberFormat="1" applyFont="1" applyBorder="1" applyAlignment="1">
      <alignment/>
    </xf>
    <xf numFmtId="0" fontId="0" fillId="35" borderId="12" xfId="0" applyFill="1" applyBorder="1" applyAlignment="1">
      <alignment/>
    </xf>
    <xf numFmtId="0" fontId="0" fillId="35" borderId="12" xfId="0" applyFont="1" applyFill="1" applyBorder="1" applyAlignment="1">
      <alignment/>
    </xf>
    <xf numFmtId="1" fontId="0" fillId="35" borderId="12" xfId="0" applyNumberFormat="1" applyFill="1" applyBorder="1" applyAlignment="1">
      <alignment/>
    </xf>
    <xf numFmtId="0" fontId="0" fillId="0" borderId="10" xfId="0" applyBorder="1" applyAlignment="1">
      <alignment/>
    </xf>
    <xf numFmtId="2" fontId="2" fillId="34" borderId="18" xfId="0" applyNumberFormat="1" applyFont="1" applyFill="1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168" fontId="2" fillId="34" borderId="19" xfId="0" applyNumberFormat="1" applyFont="1" applyFill="1" applyBorder="1" applyAlignment="1">
      <alignment/>
    </xf>
    <xf numFmtId="165" fontId="0" fillId="0" borderId="12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7" fontId="0" fillId="0" borderId="12" xfId="0" applyNumberFormat="1" applyBorder="1" applyAlignment="1">
      <alignment horizontal="right"/>
    </xf>
    <xf numFmtId="2" fontId="2" fillId="36" borderId="18" xfId="0" applyNumberFormat="1" applyFont="1" applyFill="1" applyBorder="1" applyAlignment="1">
      <alignment/>
    </xf>
    <xf numFmtId="168" fontId="2" fillId="36" borderId="19" xfId="0" applyNumberFormat="1" applyFont="1" applyFill="1" applyBorder="1" applyAlignment="1">
      <alignment/>
    </xf>
    <xf numFmtId="2" fontId="2" fillId="37" borderId="18" xfId="0" applyNumberFormat="1" applyFont="1" applyFill="1" applyBorder="1" applyAlignment="1">
      <alignment/>
    </xf>
    <xf numFmtId="168" fontId="2" fillId="37" borderId="19" xfId="0" applyNumberFormat="1" applyFont="1" applyFill="1" applyBorder="1" applyAlignment="1">
      <alignment/>
    </xf>
    <xf numFmtId="166" fontId="0" fillId="0" borderId="12" xfId="0" applyNumberFormat="1" applyBorder="1" applyAlignment="1">
      <alignment horizontal="right"/>
    </xf>
    <xf numFmtId="2" fontId="2" fillId="38" borderId="18" xfId="0" applyNumberFormat="1" applyFont="1" applyFill="1" applyBorder="1" applyAlignment="1">
      <alignment/>
    </xf>
    <xf numFmtId="168" fontId="2" fillId="38" borderId="19" xfId="0" applyNumberFormat="1" applyFont="1" applyFill="1" applyBorder="1" applyAlignment="1">
      <alignment/>
    </xf>
    <xf numFmtId="2" fontId="2" fillId="39" borderId="18" xfId="0" applyNumberFormat="1" applyFont="1" applyFill="1" applyBorder="1" applyAlignment="1">
      <alignment/>
    </xf>
    <xf numFmtId="168" fontId="2" fillId="39" borderId="19" xfId="0" applyNumberFormat="1" applyFont="1" applyFill="1" applyBorder="1" applyAlignment="1">
      <alignment/>
    </xf>
    <xf numFmtId="2" fontId="2" fillId="40" borderId="18" xfId="0" applyNumberFormat="1" applyFont="1" applyFill="1" applyBorder="1" applyAlignment="1">
      <alignment/>
    </xf>
    <xf numFmtId="168" fontId="2" fillId="40" borderId="1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43" fillId="0" borderId="0" xfId="0" applyFont="1" applyAlignment="1">
      <alignment/>
    </xf>
    <xf numFmtId="169" fontId="43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2" fontId="2" fillId="41" borderId="18" xfId="0" applyNumberFormat="1" applyFont="1" applyFill="1" applyBorder="1" applyAlignment="1">
      <alignment/>
    </xf>
    <xf numFmtId="168" fontId="2" fillId="41" borderId="19" xfId="0" applyNumberFormat="1" applyFont="1" applyFill="1" applyBorder="1" applyAlignment="1">
      <alignment/>
    </xf>
    <xf numFmtId="169" fontId="44" fillId="0" borderId="0" xfId="0" applyNumberFormat="1" applyFont="1" applyFill="1" applyAlignment="1">
      <alignment/>
    </xf>
    <xf numFmtId="169" fontId="5" fillId="0" borderId="0" xfId="0" applyNumberFormat="1" applyFont="1" applyAlignment="1">
      <alignment/>
    </xf>
    <xf numFmtId="0" fontId="2" fillId="0" borderId="0" xfId="0" applyFont="1" applyAlignment="1">
      <alignment/>
    </xf>
    <xf numFmtId="169" fontId="2" fillId="42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2" fontId="0" fillId="0" borderId="13" xfId="0" applyNumberFormat="1" applyBorder="1" applyAlignment="1">
      <alignment horizontal="left" wrapText="1"/>
    </xf>
    <xf numFmtId="2" fontId="0" fillId="0" borderId="18" xfId="0" applyNumberFormat="1" applyBorder="1" applyAlignment="1">
      <alignment horizontal="left" wrapText="1"/>
    </xf>
    <xf numFmtId="2" fontId="0" fillId="0" borderId="19" xfId="0" applyNumberFormat="1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2" fillId="4" borderId="0" xfId="0" applyFont="1" applyFill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2" fillId="41" borderId="13" xfId="0" applyNumberFormat="1" applyFont="1" applyFill="1" applyBorder="1" applyAlignment="1">
      <alignment horizontal="center"/>
    </xf>
    <xf numFmtId="0" fontId="2" fillId="41" borderId="18" xfId="0" applyNumberFormat="1" applyFont="1" applyFill="1" applyBorder="1" applyAlignment="1">
      <alignment horizontal="center"/>
    </xf>
    <xf numFmtId="0" fontId="2" fillId="39" borderId="13" xfId="0" applyNumberFormat="1" applyFont="1" applyFill="1" applyBorder="1" applyAlignment="1">
      <alignment horizontal="center"/>
    </xf>
    <xf numFmtId="0" fontId="2" fillId="39" borderId="18" xfId="0" applyNumberFormat="1" applyFont="1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2" fillId="0" borderId="12" xfId="0" applyNumberFormat="1" applyFont="1" applyBorder="1" applyAlignment="1">
      <alignment horizontal="left"/>
    </xf>
    <xf numFmtId="0" fontId="2" fillId="38" borderId="13" xfId="0" applyNumberFormat="1" applyFont="1" applyFill="1" applyBorder="1" applyAlignment="1">
      <alignment horizontal="center"/>
    </xf>
    <xf numFmtId="0" fontId="2" fillId="38" borderId="18" xfId="0" applyNumberFormat="1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37" borderId="13" xfId="0" applyNumberFormat="1" applyFont="1" applyFill="1" applyBorder="1" applyAlignment="1">
      <alignment horizontal="center"/>
    </xf>
    <xf numFmtId="0" fontId="2" fillId="37" borderId="18" xfId="0" applyNumberFormat="1" applyFont="1" applyFill="1" applyBorder="1" applyAlignment="1">
      <alignment horizontal="center"/>
    </xf>
    <xf numFmtId="2" fontId="2" fillId="6" borderId="23" xfId="0" applyNumberFormat="1" applyFont="1" applyFill="1" applyBorder="1" applyAlignment="1">
      <alignment horizontal="center"/>
    </xf>
    <xf numFmtId="0" fontId="2" fillId="34" borderId="13" xfId="0" applyNumberFormat="1" applyFont="1" applyFill="1" applyBorder="1" applyAlignment="1">
      <alignment horizontal="center"/>
    </xf>
    <xf numFmtId="0" fontId="2" fillId="34" borderId="18" xfId="0" applyNumberFormat="1" applyFont="1" applyFill="1" applyBorder="1" applyAlignment="1">
      <alignment horizontal="center"/>
    </xf>
    <xf numFmtId="2" fontId="0" fillId="0" borderId="13" xfId="0" applyNumberFormat="1" applyBorder="1" applyAlignment="1">
      <alignment horizontal="left"/>
    </xf>
    <xf numFmtId="2" fontId="0" fillId="0" borderId="18" xfId="0" applyNumberFormat="1" applyBorder="1" applyAlignment="1">
      <alignment horizontal="left"/>
    </xf>
    <xf numFmtId="2" fontId="0" fillId="0" borderId="19" xfId="0" applyNumberFormat="1" applyBorder="1" applyAlignment="1">
      <alignment horizontal="left"/>
    </xf>
    <xf numFmtId="0" fontId="2" fillId="36" borderId="13" xfId="0" applyNumberFormat="1" applyFont="1" applyFill="1" applyBorder="1" applyAlignment="1">
      <alignment horizontal="center"/>
    </xf>
    <xf numFmtId="0" fontId="2" fillId="36" borderId="18" xfId="0" applyNumberFormat="1" applyFont="1" applyFill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40" borderId="13" xfId="0" applyNumberFormat="1" applyFont="1" applyFill="1" applyBorder="1" applyAlignment="1">
      <alignment horizontal="center"/>
    </xf>
    <xf numFmtId="0" fontId="2" fillId="40" borderId="18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4:Q82"/>
  <sheetViews>
    <sheetView tabSelected="1" workbookViewId="0" topLeftCell="A1">
      <selection activeCell="K28" sqref="K28"/>
    </sheetView>
  </sheetViews>
  <sheetFormatPr defaultColWidth="9.00390625" defaultRowHeight="12.75"/>
  <cols>
    <col min="2" max="2" width="0.37109375" style="0" customWidth="1"/>
    <col min="3" max="3" width="1.25" style="0" customWidth="1"/>
    <col min="4" max="4" width="10.25390625" style="0" customWidth="1"/>
    <col min="6" max="6" width="12.00390625" style="0" customWidth="1"/>
    <col min="11" max="11" width="10.375" style="0" customWidth="1"/>
    <col min="12" max="12" width="10.00390625" style="0" customWidth="1"/>
    <col min="13" max="13" width="9.625" style="0" customWidth="1"/>
    <col min="15" max="15" width="10.625" style="0" customWidth="1"/>
    <col min="16" max="16" width="10.375" style="0" customWidth="1"/>
    <col min="17" max="17" width="10.125" style="0" bestFit="1" customWidth="1"/>
  </cols>
  <sheetData>
    <row r="4" spans="2:15" ht="12.75">
      <c r="B4" s="3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7" ht="12.75">
      <c r="A5" s="82" t="s">
        <v>50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2:17" ht="12.75">
      <c r="B6" s="4" t="s">
        <v>14</v>
      </c>
      <c r="C6" s="5" t="s">
        <v>15</v>
      </c>
      <c r="D6" s="79" t="s">
        <v>29</v>
      </c>
      <c r="E6" s="80"/>
      <c r="F6" s="81"/>
      <c r="G6" s="6" t="s">
        <v>9</v>
      </c>
      <c r="H6" s="77" t="s">
        <v>11</v>
      </c>
      <c r="I6" s="6" t="s">
        <v>21</v>
      </c>
      <c r="J6" s="7" t="s">
        <v>43</v>
      </c>
      <c r="K6" s="15" t="s">
        <v>12</v>
      </c>
      <c r="L6" s="79" t="s">
        <v>21</v>
      </c>
      <c r="M6" s="80"/>
      <c r="N6" s="81"/>
      <c r="O6" s="77" t="s">
        <v>19</v>
      </c>
      <c r="P6" s="7" t="s">
        <v>8</v>
      </c>
      <c r="Q6" s="17" t="s">
        <v>33</v>
      </c>
    </row>
    <row r="7" spans="2:17" ht="13.5" thickBot="1">
      <c r="B7" s="8"/>
      <c r="C7" s="9" t="s">
        <v>17</v>
      </c>
      <c r="D7" s="11" t="s">
        <v>30</v>
      </c>
      <c r="E7" s="11" t="s">
        <v>31</v>
      </c>
      <c r="F7" s="11" t="s">
        <v>32</v>
      </c>
      <c r="G7" s="11" t="s">
        <v>10</v>
      </c>
      <c r="H7" s="78"/>
      <c r="I7" s="11" t="s">
        <v>16</v>
      </c>
      <c r="J7" s="11" t="s">
        <v>42</v>
      </c>
      <c r="K7" s="6" t="s">
        <v>13</v>
      </c>
      <c r="L7" s="16" t="s">
        <v>22</v>
      </c>
      <c r="M7" s="11" t="s">
        <v>20</v>
      </c>
      <c r="N7" s="11" t="s">
        <v>28</v>
      </c>
      <c r="O7" s="78"/>
      <c r="P7" s="10" t="s">
        <v>18</v>
      </c>
      <c r="Q7" s="28"/>
    </row>
    <row r="8" spans="2:17" ht="12.75">
      <c r="B8" s="8"/>
      <c r="C8" s="9"/>
      <c r="D8" s="22"/>
      <c r="E8" s="29"/>
      <c r="F8" s="31">
        <v>-161661.96</v>
      </c>
      <c r="G8" s="22"/>
      <c r="H8" s="23"/>
      <c r="I8" s="11"/>
      <c r="J8" s="11"/>
      <c r="K8" s="6"/>
      <c r="L8" s="11"/>
      <c r="M8" s="11"/>
      <c r="N8" s="11"/>
      <c r="O8" s="23"/>
      <c r="P8" s="27"/>
      <c r="Q8" s="32">
        <v>100077.83</v>
      </c>
    </row>
    <row r="9" spans="1:17" ht="12.75">
      <c r="A9" s="12" t="s">
        <v>25</v>
      </c>
      <c r="B9" s="13"/>
      <c r="C9" s="14"/>
      <c r="D9" s="20">
        <f>8562.81+4712.9</f>
        <v>13275.71</v>
      </c>
      <c r="E9" s="20">
        <f>2121.43+984.36</f>
        <v>3105.79</v>
      </c>
      <c r="F9" s="20">
        <f aca="true" t="shared" si="0" ref="F9:F21">SUM(D9:E9)</f>
        <v>16381.5</v>
      </c>
      <c r="G9" s="19">
        <f aca="true" t="shared" si="1" ref="G9:G20">SUM(F9*0.03)</f>
        <v>491.445</v>
      </c>
      <c r="H9" s="19">
        <f aca="true" t="shared" si="2" ref="H9:H21">SUM(F9*0.06)</f>
        <v>982.89</v>
      </c>
      <c r="I9" s="18">
        <v>4900</v>
      </c>
      <c r="J9" s="18">
        <v>1200</v>
      </c>
      <c r="K9" s="18">
        <v>0</v>
      </c>
      <c r="L9" s="18">
        <v>3332.95</v>
      </c>
      <c r="M9" s="18">
        <v>4140</v>
      </c>
      <c r="N9" s="18">
        <f aca="true" t="shared" si="3" ref="N9:N21">SUM(F9*0.15)</f>
        <v>2457.225</v>
      </c>
      <c r="O9" s="19">
        <f aca="true" t="shared" si="4" ref="O9:O21">SUM(G9:N9)</f>
        <v>17504.51</v>
      </c>
      <c r="P9" s="21">
        <f aca="true" t="shared" si="5" ref="P9:P21">F9-O9</f>
        <v>-1123.0099999999984</v>
      </c>
      <c r="Q9" s="25">
        <f>768.76+356.72</f>
        <v>1125.48</v>
      </c>
    </row>
    <row r="10" spans="1:17" ht="12.75">
      <c r="A10" s="12" t="s">
        <v>26</v>
      </c>
      <c r="B10" s="13"/>
      <c r="C10" s="14"/>
      <c r="D10" s="20">
        <f>10341.53+3053.47+872.26</f>
        <v>14267.26</v>
      </c>
      <c r="E10" s="20">
        <f>2562.21+756.53+216.11</f>
        <v>3534.85</v>
      </c>
      <c r="F10" s="20">
        <f t="shared" si="0"/>
        <v>17802.11</v>
      </c>
      <c r="G10" s="19">
        <f t="shared" si="1"/>
        <v>534.0633</v>
      </c>
      <c r="H10" s="19">
        <f t="shared" si="2"/>
        <v>1068.1266</v>
      </c>
      <c r="I10" s="18">
        <v>4900</v>
      </c>
      <c r="J10" s="18">
        <v>1200</v>
      </c>
      <c r="K10" s="18">
        <v>0</v>
      </c>
      <c r="L10" s="18">
        <v>3332.95</v>
      </c>
      <c r="M10" s="18">
        <v>4140</v>
      </c>
      <c r="N10" s="18">
        <f t="shared" si="3"/>
        <v>2670.3165</v>
      </c>
      <c r="O10" s="19">
        <f t="shared" si="4"/>
        <v>17845.4564</v>
      </c>
      <c r="P10" s="21">
        <f t="shared" si="5"/>
        <v>-43.34639999999854</v>
      </c>
      <c r="Q10" s="25">
        <f>928.52+244.86+53.8</f>
        <v>1227.18</v>
      </c>
    </row>
    <row r="11" spans="1:17" ht="12.75">
      <c r="A11" s="12" t="s">
        <v>27</v>
      </c>
      <c r="B11" s="13"/>
      <c r="C11" s="14"/>
      <c r="D11" s="20">
        <f>10967.94+1538.28+1569.65</f>
        <v>14075.87</v>
      </c>
      <c r="E11" s="20">
        <f>2714.69+378+388.56</f>
        <v>3481.25</v>
      </c>
      <c r="F11" s="20">
        <f t="shared" si="0"/>
        <v>17557.120000000003</v>
      </c>
      <c r="G11" s="19">
        <f t="shared" si="1"/>
        <v>526.7136</v>
      </c>
      <c r="H11" s="19">
        <f t="shared" si="2"/>
        <v>1053.4272</v>
      </c>
      <c r="I11" s="18">
        <v>4900</v>
      </c>
      <c r="J11" s="18">
        <v>1200</v>
      </c>
      <c r="K11" s="18">
        <v>0</v>
      </c>
      <c r="L11" s="18">
        <v>3332.95</v>
      </c>
      <c r="M11" s="18">
        <v>4140</v>
      </c>
      <c r="N11" s="18">
        <f t="shared" si="3"/>
        <v>2633.568</v>
      </c>
      <c r="O11" s="19">
        <f t="shared" si="4"/>
        <v>17786.6588</v>
      </c>
      <c r="P11" s="21">
        <f t="shared" si="5"/>
        <v>-229.53879999999845</v>
      </c>
      <c r="Q11" s="25">
        <f>1025.11+136.98+140.9</f>
        <v>1302.99</v>
      </c>
    </row>
    <row r="12" spans="1:17" ht="12.75">
      <c r="A12" s="12" t="s">
        <v>0</v>
      </c>
      <c r="B12" s="13"/>
      <c r="C12" s="14"/>
      <c r="D12" s="20">
        <f>12730.85+3003.48+9115.03</f>
        <v>24849.36</v>
      </c>
      <c r="E12" s="20">
        <f>3156.77+747.3+2257.95</f>
        <v>6162.0199999999995</v>
      </c>
      <c r="F12" s="20">
        <f t="shared" si="0"/>
        <v>31011.38</v>
      </c>
      <c r="G12" s="19">
        <f t="shared" si="1"/>
        <v>930.3414</v>
      </c>
      <c r="H12" s="19">
        <f t="shared" si="2"/>
        <v>1860.6828</v>
      </c>
      <c r="I12" s="18">
        <v>4900</v>
      </c>
      <c r="J12" s="18">
        <v>1200</v>
      </c>
      <c r="K12" s="18">
        <v>0</v>
      </c>
      <c r="L12" s="18">
        <v>3332.95</v>
      </c>
      <c r="M12" s="18">
        <v>4140</v>
      </c>
      <c r="N12" s="18">
        <f t="shared" si="3"/>
        <v>4651.707</v>
      </c>
      <c r="O12" s="19">
        <f t="shared" si="4"/>
        <v>21015.6812</v>
      </c>
      <c r="P12" s="21">
        <f t="shared" si="5"/>
        <v>9995.698800000002</v>
      </c>
      <c r="Q12" s="25">
        <f>1100.52+270.79+819.08</f>
        <v>2190.39</v>
      </c>
    </row>
    <row r="13" spans="1:17" ht="12.75">
      <c r="A13" s="12" t="s">
        <v>1</v>
      </c>
      <c r="B13" s="13"/>
      <c r="C13" s="14"/>
      <c r="D13" s="20">
        <f>14434.93+2747.67+1087.82</f>
        <v>18270.42</v>
      </c>
      <c r="E13" s="20">
        <f>3128.2+680.78+269.51</f>
        <v>4078.49</v>
      </c>
      <c r="F13" s="20">
        <f t="shared" si="0"/>
        <v>22348.909999999996</v>
      </c>
      <c r="G13" s="19">
        <f t="shared" si="1"/>
        <v>670.4672999999999</v>
      </c>
      <c r="H13" s="19">
        <f t="shared" si="2"/>
        <v>1340.9345999999998</v>
      </c>
      <c r="I13" s="18">
        <v>4900</v>
      </c>
      <c r="J13" s="18">
        <v>0</v>
      </c>
      <c r="K13" s="18">
        <v>0</v>
      </c>
      <c r="L13" s="18">
        <v>3332.95</v>
      </c>
      <c r="M13" s="18">
        <v>4140</v>
      </c>
      <c r="N13" s="18">
        <f t="shared" si="3"/>
        <v>3352.3364999999994</v>
      </c>
      <c r="O13" s="19">
        <f t="shared" si="4"/>
        <v>17736.6884</v>
      </c>
      <c r="P13" s="21">
        <f t="shared" si="5"/>
        <v>4612.221599999997</v>
      </c>
      <c r="Q13" s="25">
        <f>1135.67+246.69+97.65</f>
        <v>1480.0100000000002</v>
      </c>
    </row>
    <row r="14" spans="1:17" ht="12.75">
      <c r="A14" s="12" t="s">
        <v>2</v>
      </c>
      <c r="B14" s="13"/>
      <c r="C14" s="14"/>
      <c r="D14" s="20">
        <f>9873.54+1302.81+1071.12</f>
        <v>12247.470000000001</v>
      </c>
      <c r="E14" s="20">
        <f>2446.18+322.8+265.37</f>
        <v>3034.35</v>
      </c>
      <c r="F14" s="20">
        <f t="shared" si="0"/>
        <v>15281.820000000002</v>
      </c>
      <c r="G14" s="19">
        <f t="shared" si="1"/>
        <v>458.4546</v>
      </c>
      <c r="H14" s="19">
        <f t="shared" si="2"/>
        <v>916.9092</v>
      </c>
      <c r="I14" s="18">
        <v>4900</v>
      </c>
      <c r="J14" s="18">
        <v>0</v>
      </c>
      <c r="K14" s="18">
        <v>0</v>
      </c>
      <c r="L14" s="18">
        <v>3332.95</v>
      </c>
      <c r="M14" s="18">
        <v>4140</v>
      </c>
      <c r="N14" s="18">
        <f t="shared" si="3"/>
        <v>2292.273</v>
      </c>
      <c r="O14" s="19">
        <f t="shared" si="4"/>
        <v>16040.586800000001</v>
      </c>
      <c r="P14" s="21">
        <f t="shared" si="5"/>
        <v>-758.7667999999994</v>
      </c>
      <c r="Q14" s="25">
        <f>886.47+116.98+96.15</f>
        <v>1099.6000000000001</v>
      </c>
    </row>
    <row r="15" spans="1:17" ht="12.75">
      <c r="A15" s="12" t="s">
        <v>3</v>
      </c>
      <c r="B15" s="13"/>
      <c r="C15" s="14"/>
      <c r="D15" s="20">
        <f>14731.68+1141.28+1503.94</f>
        <v>17376.9</v>
      </c>
      <c r="E15" s="20">
        <f>3650.58+282.78+372.56</f>
        <v>4305.92</v>
      </c>
      <c r="F15" s="20">
        <f t="shared" si="0"/>
        <v>21682.82</v>
      </c>
      <c r="G15" s="19">
        <f t="shared" si="1"/>
        <v>650.4846</v>
      </c>
      <c r="H15" s="19">
        <f t="shared" si="2"/>
        <v>1300.9692</v>
      </c>
      <c r="I15" s="18">
        <v>4900</v>
      </c>
      <c r="J15" s="18">
        <v>0</v>
      </c>
      <c r="K15" s="18">
        <v>0</v>
      </c>
      <c r="L15" s="18">
        <v>3332.95</v>
      </c>
      <c r="M15" s="18">
        <f>4140</f>
        <v>4140</v>
      </c>
      <c r="N15" s="18">
        <f t="shared" si="3"/>
        <v>3252.423</v>
      </c>
      <c r="O15" s="19">
        <f t="shared" si="4"/>
        <v>17576.8268</v>
      </c>
      <c r="P15" s="21">
        <f t="shared" si="5"/>
        <v>4105.993200000001</v>
      </c>
      <c r="Q15" s="25">
        <f>1322.7+102.48+134.88</f>
        <v>1560.06</v>
      </c>
    </row>
    <row r="16" spans="1:17" ht="12.75">
      <c r="A16" s="12" t="s">
        <v>4</v>
      </c>
      <c r="B16" s="13"/>
      <c r="C16" s="14"/>
      <c r="D16" s="20">
        <f>13272.25+1605.27</f>
        <v>14877.52</v>
      </c>
      <c r="E16" s="20">
        <f>3288.29+397.72</f>
        <v>3686.01</v>
      </c>
      <c r="F16" s="20">
        <f t="shared" si="0"/>
        <v>18563.53</v>
      </c>
      <c r="G16" s="19">
        <f t="shared" si="1"/>
        <v>556.9059</v>
      </c>
      <c r="H16" s="19">
        <f t="shared" si="2"/>
        <v>1113.8118</v>
      </c>
      <c r="I16" s="18">
        <v>4900</v>
      </c>
      <c r="J16" s="18">
        <v>0</v>
      </c>
      <c r="K16" s="18">
        <v>0</v>
      </c>
      <c r="L16" s="18">
        <v>3332.95</v>
      </c>
      <c r="M16" s="18">
        <v>4140</v>
      </c>
      <c r="N16" s="18">
        <f t="shared" si="3"/>
        <v>2784.5294999999996</v>
      </c>
      <c r="O16" s="19">
        <f t="shared" si="4"/>
        <v>16828.1972</v>
      </c>
      <c r="P16" s="21">
        <f t="shared" si="5"/>
        <v>1735.3328000000001</v>
      </c>
      <c r="Q16" s="25">
        <f>1176.88+144.1</f>
        <v>1320.98</v>
      </c>
    </row>
    <row r="17" spans="1:17" ht="12.75">
      <c r="A17" s="12" t="s">
        <v>5</v>
      </c>
      <c r="B17" s="13"/>
      <c r="C17" s="14"/>
      <c r="D17" s="20">
        <f>11722.6+1648.16</f>
        <v>13370.76</v>
      </c>
      <c r="E17" s="20">
        <f>2904.33+408.34</f>
        <v>3312.67</v>
      </c>
      <c r="F17" s="20">
        <f t="shared" si="0"/>
        <v>16683.43</v>
      </c>
      <c r="G17" s="19">
        <f t="shared" si="1"/>
        <v>500.5029</v>
      </c>
      <c r="H17" s="19">
        <f t="shared" si="2"/>
        <v>1001.0058</v>
      </c>
      <c r="I17" s="18">
        <v>4900</v>
      </c>
      <c r="J17" s="18">
        <v>0</v>
      </c>
      <c r="K17" s="18">
        <v>4482</v>
      </c>
      <c r="L17" s="18">
        <v>3332.95</v>
      </c>
      <c r="M17" s="18">
        <v>4140</v>
      </c>
      <c r="N17" s="18">
        <f t="shared" si="3"/>
        <v>2502.5144999999998</v>
      </c>
      <c r="O17" s="19">
        <f t="shared" si="4"/>
        <v>20858.9732</v>
      </c>
      <c r="P17" s="21">
        <f t="shared" si="5"/>
        <v>-4175.5432</v>
      </c>
      <c r="Q17" s="25">
        <f>1036.76+184.65</f>
        <v>1221.41</v>
      </c>
    </row>
    <row r="18" spans="1:17" ht="12.75">
      <c r="A18" s="12" t="s">
        <v>6</v>
      </c>
      <c r="B18" s="13"/>
      <c r="C18" s="14"/>
      <c r="D18" s="20">
        <f>15818.22+2129.4</f>
        <v>17947.62</v>
      </c>
      <c r="E18" s="20">
        <f>3919.27+527.58</f>
        <v>4446.85</v>
      </c>
      <c r="F18" s="20">
        <f t="shared" si="0"/>
        <v>22394.47</v>
      </c>
      <c r="G18" s="19">
        <f t="shared" si="1"/>
        <v>671.8341</v>
      </c>
      <c r="H18" s="19">
        <f t="shared" si="2"/>
        <v>1343.6682</v>
      </c>
      <c r="I18" s="18">
        <v>4900</v>
      </c>
      <c r="J18" s="18">
        <v>1200</v>
      </c>
      <c r="K18" s="18">
        <v>1605</v>
      </c>
      <c r="L18" s="18">
        <v>3332.95</v>
      </c>
      <c r="M18" s="18">
        <v>4140</v>
      </c>
      <c r="N18" s="18">
        <f t="shared" si="3"/>
        <v>3359.1705</v>
      </c>
      <c r="O18" s="19">
        <f t="shared" si="4"/>
        <v>20552.6228</v>
      </c>
      <c r="P18" s="21">
        <f t="shared" si="5"/>
        <v>1841.8472000000002</v>
      </c>
      <c r="Q18" s="25">
        <f>1405.46+191.15</f>
        <v>1596.6100000000001</v>
      </c>
    </row>
    <row r="19" spans="1:17" ht="12.75">
      <c r="A19" s="12" t="s">
        <v>7</v>
      </c>
      <c r="B19" s="13"/>
      <c r="C19" s="14"/>
      <c r="D19" s="20">
        <f>15210.88+1704.42</f>
        <v>16915.3</v>
      </c>
      <c r="E19" s="20">
        <f>3892.02+422.28</f>
        <v>4314.3</v>
      </c>
      <c r="F19" s="20">
        <f t="shared" si="0"/>
        <v>21229.6</v>
      </c>
      <c r="G19" s="19">
        <f t="shared" si="1"/>
        <v>636.8879999999999</v>
      </c>
      <c r="H19" s="19">
        <f t="shared" si="2"/>
        <v>1273.7759999999998</v>
      </c>
      <c r="I19" s="18">
        <v>4900</v>
      </c>
      <c r="J19" s="18">
        <v>1200</v>
      </c>
      <c r="K19" s="18">
        <v>832</v>
      </c>
      <c r="L19" s="18">
        <v>3332.95</v>
      </c>
      <c r="M19" s="18">
        <v>4140</v>
      </c>
      <c r="N19" s="18">
        <f t="shared" si="3"/>
        <v>3184.4399999999996</v>
      </c>
      <c r="O19" s="19">
        <f t="shared" si="4"/>
        <v>19500.054</v>
      </c>
      <c r="P19" s="21">
        <f t="shared" si="5"/>
        <v>1729.5459999999985</v>
      </c>
      <c r="Q19" s="25">
        <f>1033.1+153</f>
        <v>1186.1</v>
      </c>
    </row>
    <row r="20" spans="1:17" ht="12.75">
      <c r="A20" s="12" t="s">
        <v>24</v>
      </c>
      <c r="B20" s="13"/>
      <c r="C20" s="14"/>
      <c r="D20" s="20">
        <f>18255.56+2168.96</f>
        <v>20424.52</v>
      </c>
      <c r="E20" s="20">
        <f>4405.68+402.13</f>
        <v>4807.81</v>
      </c>
      <c r="F20" s="20">
        <f t="shared" si="0"/>
        <v>25232.33</v>
      </c>
      <c r="G20" s="19">
        <f t="shared" si="1"/>
        <v>756.9699</v>
      </c>
      <c r="H20" s="19">
        <f t="shared" si="2"/>
        <v>1513.9398</v>
      </c>
      <c r="I20" s="18">
        <v>4900</v>
      </c>
      <c r="J20" s="18">
        <v>1200</v>
      </c>
      <c r="K20" s="18">
        <v>1609</v>
      </c>
      <c r="L20" s="18">
        <v>3332.95</v>
      </c>
      <c r="M20" s="18">
        <v>4140</v>
      </c>
      <c r="N20" s="18">
        <f t="shared" si="3"/>
        <v>3784.8495000000003</v>
      </c>
      <c r="O20" s="19">
        <f t="shared" si="4"/>
        <v>21237.7092</v>
      </c>
      <c r="P20" s="21">
        <f t="shared" si="5"/>
        <v>3994.6208000000006</v>
      </c>
      <c r="Q20" s="25">
        <f>381.75+106.3</f>
        <v>488.05</v>
      </c>
    </row>
    <row r="21" spans="1:17" ht="12.75">
      <c r="A21" s="35" t="s">
        <v>46</v>
      </c>
      <c r="B21" s="36"/>
      <c r="C21" s="37"/>
      <c r="D21" s="20">
        <f>900+900+900+900</f>
        <v>3600</v>
      </c>
      <c r="E21" s="20">
        <v>0</v>
      </c>
      <c r="F21" s="20">
        <f t="shared" si="0"/>
        <v>3600</v>
      </c>
      <c r="G21" s="19">
        <v>0</v>
      </c>
      <c r="H21" s="19">
        <f t="shared" si="2"/>
        <v>216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f t="shared" si="3"/>
        <v>540</v>
      </c>
      <c r="O21" s="19">
        <f t="shared" si="4"/>
        <v>756</v>
      </c>
      <c r="P21" s="21">
        <f t="shared" si="5"/>
        <v>2844</v>
      </c>
      <c r="Q21" s="25">
        <v>0</v>
      </c>
    </row>
    <row r="22" spans="1:17" ht="12.75">
      <c r="A22" s="24" t="s">
        <v>32</v>
      </c>
      <c r="B22" s="24"/>
      <c r="C22" s="24"/>
      <c r="D22" s="33">
        <f>SUM(D9:D21)</f>
        <v>201498.71</v>
      </c>
      <c r="E22" s="33">
        <f>SUM(E9:E21)</f>
        <v>48270.31</v>
      </c>
      <c r="F22" s="33">
        <f>SUM(F8:F21)</f>
        <v>88107.06000000003</v>
      </c>
      <c r="G22" s="33">
        <f aca="true" t="shared" si="6" ref="G22:O22">SUM(G9:G21)</f>
        <v>7385.0706</v>
      </c>
      <c r="H22" s="33">
        <f t="shared" si="6"/>
        <v>14986.1412</v>
      </c>
      <c r="I22" s="33">
        <f t="shared" si="6"/>
        <v>58800</v>
      </c>
      <c r="J22" s="33">
        <f t="shared" si="6"/>
        <v>8400</v>
      </c>
      <c r="K22" s="33">
        <f t="shared" si="6"/>
        <v>8528</v>
      </c>
      <c r="L22" s="33">
        <f t="shared" si="6"/>
        <v>39995.399999999994</v>
      </c>
      <c r="M22" s="33">
        <f t="shared" si="6"/>
        <v>49680</v>
      </c>
      <c r="N22" s="33">
        <f t="shared" si="6"/>
        <v>37465.353</v>
      </c>
      <c r="O22" s="33">
        <f t="shared" si="6"/>
        <v>225239.96480000005</v>
      </c>
      <c r="P22" s="34">
        <f>F22-O22</f>
        <v>-137132.90480000002</v>
      </c>
      <c r="Q22" s="12">
        <f>SUM(Q8:Q21)</f>
        <v>115876.69</v>
      </c>
    </row>
    <row r="23" ht="12.75">
      <c r="Q23" s="26">
        <f>Q22*0.91</f>
        <v>105447.78790000001</v>
      </c>
    </row>
    <row r="24" spans="4:17" ht="12.75">
      <c r="D24" t="s">
        <v>3</v>
      </c>
      <c r="E24" t="s">
        <v>88</v>
      </c>
      <c r="F24" t="s">
        <v>89</v>
      </c>
      <c r="N24" t="s">
        <v>3</v>
      </c>
      <c r="O24" t="s">
        <v>83</v>
      </c>
      <c r="Q24" s="62">
        <v>11218</v>
      </c>
    </row>
    <row r="25" spans="14:17" ht="12.75">
      <c r="N25" t="s">
        <v>25</v>
      </c>
      <c r="O25" t="s">
        <v>85</v>
      </c>
      <c r="Q25" s="62">
        <v>1942</v>
      </c>
    </row>
    <row r="26" spans="14:17" ht="12.75">
      <c r="N26" t="s">
        <v>26</v>
      </c>
      <c r="O26" t="s">
        <v>85</v>
      </c>
      <c r="Q26" s="62">
        <v>6947</v>
      </c>
    </row>
    <row r="27" spans="6:17" ht="12.75">
      <c r="F27" s="62"/>
      <c r="G27" s="59"/>
      <c r="H27" s="59"/>
      <c r="I27" s="59"/>
      <c r="J27" s="59"/>
      <c r="K27" s="59"/>
      <c r="L27" s="59"/>
      <c r="M27" s="59"/>
      <c r="N27" s="59" t="s">
        <v>3</v>
      </c>
      <c r="O27" s="59" t="s">
        <v>82</v>
      </c>
      <c r="P27" s="59"/>
      <c r="Q27" s="63">
        <v>1133</v>
      </c>
    </row>
    <row r="28" spans="6:17" ht="12.75">
      <c r="F28" s="62"/>
      <c r="N28" t="s">
        <v>3</v>
      </c>
      <c r="O28" t="s">
        <v>62</v>
      </c>
      <c r="Q28" s="62">
        <v>1395</v>
      </c>
    </row>
    <row r="29" spans="14:17" ht="12.75">
      <c r="N29" t="s">
        <v>3</v>
      </c>
      <c r="O29" t="s">
        <v>81</v>
      </c>
      <c r="Q29" s="62">
        <v>17256</v>
      </c>
    </row>
    <row r="30" spans="11:17" ht="12.75">
      <c r="K30" s="73"/>
      <c r="N30" t="s">
        <v>4</v>
      </c>
      <c r="O30" t="s">
        <v>80</v>
      </c>
      <c r="Q30" s="62">
        <v>1683</v>
      </c>
    </row>
    <row r="31" spans="14:17" ht="12.75">
      <c r="N31" t="s">
        <v>4</v>
      </c>
      <c r="O31" t="s">
        <v>86</v>
      </c>
      <c r="Q31" s="62">
        <v>1505</v>
      </c>
    </row>
    <row r="32" spans="14:17" ht="12.75">
      <c r="N32" t="s">
        <v>4</v>
      </c>
      <c r="O32" t="s">
        <v>80</v>
      </c>
      <c r="Q32" s="62">
        <v>5925</v>
      </c>
    </row>
    <row r="33" ht="12.75">
      <c r="Q33" s="69">
        <f>SUM(Q24:Q32)</f>
        <v>49004</v>
      </c>
    </row>
    <row r="34" spans="16:17" ht="12.75">
      <c r="P34" s="70" t="s">
        <v>84</v>
      </c>
      <c r="Q34" s="71">
        <f>Q23-Q33</f>
        <v>56443.78790000001</v>
      </c>
    </row>
    <row r="35" ht="12.75">
      <c r="Q35" s="64"/>
    </row>
    <row r="36" spans="12:17" ht="12.75">
      <c r="L36" s="70" t="s">
        <v>87</v>
      </c>
      <c r="N36" s="72">
        <f>P22+Q34</f>
        <v>-80689.11690000001</v>
      </c>
      <c r="Q36" s="61"/>
    </row>
    <row r="37" ht="12.75">
      <c r="Q37" s="61"/>
    </row>
    <row r="38" ht="12.75">
      <c r="Q38" s="61"/>
    </row>
    <row r="39" ht="12.75">
      <c r="Q39" s="65"/>
    </row>
    <row r="40" ht="12.75">
      <c r="Q40" s="68"/>
    </row>
    <row r="41" spans="5:17" ht="12.75">
      <c r="E41" t="s">
        <v>23</v>
      </c>
      <c r="Q41" s="60"/>
    </row>
    <row r="45" spans="1:17" ht="12.75">
      <c r="A45" s="99" t="s">
        <v>52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</row>
    <row r="46" spans="1:17" ht="38.25">
      <c r="A46" s="79" t="s">
        <v>34</v>
      </c>
      <c r="B46" s="80"/>
      <c r="C46" s="81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1"/>
      <c r="O46" s="12" t="s">
        <v>35</v>
      </c>
      <c r="P46" s="12" t="s">
        <v>36</v>
      </c>
      <c r="Q46" s="40" t="s">
        <v>51</v>
      </c>
    </row>
    <row r="47" spans="1:17" ht="12.75">
      <c r="A47" s="83" t="s">
        <v>25</v>
      </c>
      <c r="B47" s="84"/>
      <c r="C47" s="85"/>
      <c r="D47" s="102" t="s">
        <v>54</v>
      </c>
      <c r="E47" s="103"/>
      <c r="F47" s="103"/>
      <c r="G47" s="103"/>
      <c r="H47" s="103"/>
      <c r="I47" s="103"/>
      <c r="J47" s="103"/>
      <c r="K47" s="103"/>
      <c r="L47" s="103"/>
      <c r="M47" s="103"/>
      <c r="N47" s="104"/>
      <c r="O47" s="12" t="s">
        <v>45</v>
      </c>
      <c r="P47" s="43">
        <v>0.015</v>
      </c>
      <c r="Q47" s="41" t="s">
        <v>53</v>
      </c>
    </row>
    <row r="48" spans="1:17" ht="12.75">
      <c r="A48" s="90"/>
      <c r="B48" s="91"/>
      <c r="C48" s="92"/>
      <c r="D48" s="102" t="s">
        <v>55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4"/>
      <c r="O48" s="38" t="s">
        <v>45</v>
      </c>
      <c r="P48" s="44">
        <v>0.015</v>
      </c>
      <c r="Q48" s="41"/>
    </row>
    <row r="49" spans="1:17" ht="12.75">
      <c r="A49" s="100" t="s">
        <v>37</v>
      </c>
      <c r="B49" s="101"/>
      <c r="C49" s="101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 t="s">
        <v>38</v>
      </c>
      <c r="Q49" s="42">
        <v>1.942</v>
      </c>
    </row>
    <row r="50" spans="1:17" ht="12.75">
      <c r="A50" s="107" t="s">
        <v>26</v>
      </c>
      <c r="B50" s="108"/>
      <c r="C50" s="109"/>
      <c r="D50" s="102" t="s">
        <v>57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4"/>
      <c r="O50" s="38" t="s">
        <v>45</v>
      </c>
      <c r="P50" s="45">
        <v>0.05</v>
      </c>
      <c r="Q50" s="41" t="s">
        <v>56</v>
      </c>
    </row>
    <row r="51" spans="1:17" ht="27" customHeight="1">
      <c r="A51" s="96"/>
      <c r="B51" s="96"/>
      <c r="C51" s="96"/>
      <c r="D51" s="74" t="s">
        <v>58</v>
      </c>
      <c r="E51" s="75"/>
      <c r="F51" s="75"/>
      <c r="G51" s="75"/>
      <c r="H51" s="75"/>
      <c r="I51" s="75"/>
      <c r="J51" s="75"/>
      <c r="K51" s="75"/>
      <c r="L51" s="75"/>
      <c r="M51" s="75"/>
      <c r="N51" s="76"/>
      <c r="O51" s="12" t="s">
        <v>39</v>
      </c>
      <c r="P51" s="47">
        <v>1</v>
      </c>
      <c r="Q51" s="41"/>
    </row>
    <row r="52" spans="1:17" ht="27" customHeight="1">
      <c r="A52" s="83"/>
      <c r="B52" s="84"/>
      <c r="C52" s="85"/>
      <c r="D52" s="74" t="s">
        <v>59</v>
      </c>
      <c r="E52" s="75"/>
      <c r="F52" s="75"/>
      <c r="G52" s="75"/>
      <c r="H52" s="75"/>
      <c r="I52" s="75"/>
      <c r="J52" s="75"/>
      <c r="K52" s="75"/>
      <c r="L52" s="75"/>
      <c r="M52" s="75"/>
      <c r="N52" s="76"/>
      <c r="O52" s="12" t="s">
        <v>45</v>
      </c>
      <c r="P52" s="46">
        <v>0.01</v>
      </c>
      <c r="Q52" s="41"/>
    </row>
    <row r="53" spans="1:17" ht="27" customHeight="1">
      <c r="A53" s="83"/>
      <c r="B53" s="84"/>
      <c r="C53" s="85"/>
      <c r="D53" s="74" t="s">
        <v>60</v>
      </c>
      <c r="E53" s="75"/>
      <c r="F53" s="75"/>
      <c r="G53" s="75"/>
      <c r="H53" s="75"/>
      <c r="I53" s="75"/>
      <c r="J53" s="75"/>
      <c r="K53" s="75"/>
      <c r="L53" s="75"/>
      <c r="M53" s="75"/>
      <c r="N53" s="76"/>
      <c r="O53" s="12" t="s">
        <v>45</v>
      </c>
      <c r="P53" s="46">
        <v>0.04</v>
      </c>
      <c r="Q53" s="41"/>
    </row>
    <row r="54" spans="1:17" ht="12.75">
      <c r="A54" s="105" t="s">
        <v>37</v>
      </c>
      <c r="B54" s="106"/>
      <c r="C54" s="106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 t="s">
        <v>38</v>
      </c>
      <c r="Q54" s="49">
        <v>6.947</v>
      </c>
    </row>
    <row r="55" spans="1:17" ht="25.5" customHeight="1">
      <c r="A55" s="83" t="s">
        <v>3</v>
      </c>
      <c r="B55" s="84"/>
      <c r="C55" s="85"/>
      <c r="D55" s="74" t="s">
        <v>61</v>
      </c>
      <c r="E55" s="75"/>
      <c r="F55" s="75"/>
      <c r="G55" s="75"/>
      <c r="H55" s="75"/>
      <c r="I55" s="75"/>
      <c r="J55" s="75"/>
      <c r="K55" s="75"/>
      <c r="L55" s="75"/>
      <c r="M55" s="75"/>
      <c r="N55" s="76"/>
      <c r="O55" s="12" t="s">
        <v>39</v>
      </c>
      <c r="P55" s="47">
        <v>1</v>
      </c>
      <c r="Q55" s="41" t="s">
        <v>47</v>
      </c>
    </row>
    <row r="56" spans="1:17" ht="12.75">
      <c r="A56" s="97" t="s">
        <v>37</v>
      </c>
      <c r="B56" s="98"/>
      <c r="C56" s="98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 t="s">
        <v>38</v>
      </c>
      <c r="Q56" s="51">
        <v>1.133</v>
      </c>
    </row>
    <row r="57" spans="1:17" ht="12.75" customHeight="1">
      <c r="A57" s="83" t="s">
        <v>3</v>
      </c>
      <c r="B57" s="84"/>
      <c r="C57" s="85"/>
      <c r="D57" s="74" t="s">
        <v>62</v>
      </c>
      <c r="E57" s="75"/>
      <c r="F57" s="75"/>
      <c r="G57" s="75"/>
      <c r="H57" s="75"/>
      <c r="I57" s="75"/>
      <c r="J57" s="75"/>
      <c r="K57" s="75"/>
      <c r="L57" s="75"/>
      <c r="M57" s="75"/>
      <c r="N57" s="76"/>
      <c r="O57" s="12" t="s">
        <v>41</v>
      </c>
      <c r="P57" s="46">
        <v>0.01</v>
      </c>
      <c r="Q57" s="41" t="s">
        <v>49</v>
      </c>
    </row>
    <row r="58" spans="1:17" ht="12.75">
      <c r="A58" s="97" t="s">
        <v>37</v>
      </c>
      <c r="B58" s="98"/>
      <c r="C58" s="98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 t="s">
        <v>38</v>
      </c>
      <c r="Q58" s="51">
        <v>1.395</v>
      </c>
    </row>
    <row r="59" spans="1:17" ht="29.25" customHeight="1">
      <c r="A59" s="83" t="s">
        <v>3</v>
      </c>
      <c r="B59" s="84"/>
      <c r="C59" s="85"/>
      <c r="D59" s="74" t="s">
        <v>48</v>
      </c>
      <c r="E59" s="75"/>
      <c r="F59" s="75"/>
      <c r="G59" s="75"/>
      <c r="H59" s="75"/>
      <c r="I59" s="75"/>
      <c r="J59" s="75"/>
      <c r="K59" s="75"/>
      <c r="L59" s="75"/>
      <c r="M59" s="75"/>
      <c r="N59" s="76"/>
      <c r="O59" s="12" t="s">
        <v>45</v>
      </c>
      <c r="P59" s="52">
        <v>6.3</v>
      </c>
      <c r="Q59" s="41"/>
    </row>
    <row r="60" spans="1:17" ht="12.75">
      <c r="A60" s="97" t="s">
        <v>37</v>
      </c>
      <c r="B60" s="98"/>
      <c r="C60" s="98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 t="s">
        <v>38</v>
      </c>
      <c r="Q60" s="51">
        <v>17.256</v>
      </c>
    </row>
    <row r="61" spans="1:17" ht="12.75" customHeight="1">
      <c r="A61" s="83" t="s">
        <v>4</v>
      </c>
      <c r="B61" s="84"/>
      <c r="C61" s="85"/>
      <c r="D61" s="74" t="s">
        <v>63</v>
      </c>
      <c r="E61" s="75"/>
      <c r="F61" s="75"/>
      <c r="G61" s="75"/>
      <c r="H61" s="75"/>
      <c r="I61" s="75"/>
      <c r="J61" s="75"/>
      <c r="K61" s="75"/>
      <c r="L61" s="75"/>
      <c r="M61" s="75"/>
      <c r="N61" s="76"/>
      <c r="O61" s="12" t="s">
        <v>45</v>
      </c>
      <c r="P61" s="43">
        <v>0.005</v>
      </c>
      <c r="Q61" s="41" t="s">
        <v>64</v>
      </c>
    </row>
    <row r="62" spans="1:17" ht="12.75" customHeight="1">
      <c r="A62" s="96"/>
      <c r="B62" s="96"/>
      <c r="C62" s="96"/>
      <c r="D62" s="74" t="s">
        <v>65</v>
      </c>
      <c r="E62" s="75"/>
      <c r="F62" s="75"/>
      <c r="G62" s="75"/>
      <c r="H62" s="75"/>
      <c r="I62" s="75"/>
      <c r="J62" s="75"/>
      <c r="K62" s="75"/>
      <c r="L62" s="75"/>
      <c r="M62" s="75"/>
      <c r="N62" s="76"/>
      <c r="O62" s="12" t="s">
        <v>66</v>
      </c>
      <c r="P62" s="46">
        <v>0.01</v>
      </c>
      <c r="Q62" s="41"/>
    </row>
    <row r="63" spans="1:17" ht="12.75" customHeight="1">
      <c r="A63" s="96"/>
      <c r="B63" s="96"/>
      <c r="C63" s="96"/>
      <c r="D63" s="74" t="s">
        <v>54</v>
      </c>
      <c r="E63" s="75"/>
      <c r="F63" s="75"/>
      <c r="G63" s="75"/>
      <c r="H63" s="75"/>
      <c r="I63" s="75"/>
      <c r="J63" s="75"/>
      <c r="K63" s="75"/>
      <c r="L63" s="75"/>
      <c r="M63" s="75"/>
      <c r="N63" s="76"/>
      <c r="O63" s="12" t="s">
        <v>45</v>
      </c>
      <c r="P63" s="43">
        <v>0.005</v>
      </c>
      <c r="Q63" s="41"/>
    </row>
    <row r="64" spans="1:17" ht="12.75" customHeight="1">
      <c r="A64" s="93"/>
      <c r="B64" s="93"/>
      <c r="C64" s="93"/>
      <c r="D64" s="74" t="s">
        <v>67</v>
      </c>
      <c r="E64" s="75"/>
      <c r="F64" s="75"/>
      <c r="G64" s="75"/>
      <c r="H64" s="75"/>
      <c r="I64" s="75"/>
      <c r="J64" s="75"/>
      <c r="K64" s="75"/>
      <c r="L64" s="75"/>
      <c r="M64" s="75"/>
      <c r="N64" s="76"/>
      <c r="O64" s="12" t="s">
        <v>45</v>
      </c>
      <c r="P64" s="43">
        <v>0.005</v>
      </c>
      <c r="Q64" s="41"/>
    </row>
    <row r="65" spans="1:17" ht="12.75" customHeight="1">
      <c r="A65" s="93"/>
      <c r="B65" s="93"/>
      <c r="C65" s="93"/>
      <c r="D65" s="74" t="s">
        <v>68</v>
      </c>
      <c r="E65" s="75"/>
      <c r="F65" s="75"/>
      <c r="G65" s="75"/>
      <c r="H65" s="75"/>
      <c r="I65" s="75"/>
      <c r="J65" s="75"/>
      <c r="K65" s="75"/>
      <c r="L65" s="75"/>
      <c r="M65" s="75"/>
      <c r="N65" s="76"/>
      <c r="O65" s="12" t="s">
        <v>69</v>
      </c>
      <c r="P65" s="46">
        <v>0.01</v>
      </c>
      <c r="Q65" s="41"/>
    </row>
    <row r="66" spans="1:17" ht="12.75">
      <c r="A66" s="94" t="s">
        <v>37</v>
      </c>
      <c r="B66" s="95"/>
      <c r="C66" s="95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 t="s">
        <v>38</v>
      </c>
      <c r="Q66" s="54">
        <v>1.683</v>
      </c>
    </row>
    <row r="67" spans="1:17" ht="12.75" customHeight="1">
      <c r="A67" s="83" t="s">
        <v>70</v>
      </c>
      <c r="B67" s="84"/>
      <c r="C67" s="85"/>
      <c r="D67" s="74" t="s">
        <v>72</v>
      </c>
      <c r="E67" s="75"/>
      <c r="F67" s="75"/>
      <c r="G67" s="75"/>
      <c r="H67" s="75"/>
      <c r="I67" s="75"/>
      <c r="J67" s="75"/>
      <c r="K67" s="75"/>
      <c r="L67" s="75"/>
      <c r="M67" s="75"/>
      <c r="N67" s="76"/>
      <c r="O67" s="12" t="s">
        <v>41</v>
      </c>
      <c r="P67" s="46">
        <v>0.01</v>
      </c>
      <c r="Q67" s="41" t="s">
        <v>71</v>
      </c>
    </row>
    <row r="68" spans="1:17" ht="12.75">
      <c r="A68" s="94" t="s">
        <v>37</v>
      </c>
      <c r="B68" s="95"/>
      <c r="C68" s="95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 t="s">
        <v>38</v>
      </c>
      <c r="Q68" s="54">
        <v>1.505</v>
      </c>
    </row>
    <row r="69" spans="1:17" ht="12.75" customHeight="1">
      <c r="A69" s="83" t="s">
        <v>70</v>
      </c>
      <c r="B69" s="84"/>
      <c r="C69" s="85"/>
      <c r="D69" s="74" t="s">
        <v>73</v>
      </c>
      <c r="E69" s="75"/>
      <c r="F69" s="75"/>
      <c r="G69" s="75"/>
      <c r="H69" s="75"/>
      <c r="I69" s="75"/>
      <c r="J69" s="75"/>
      <c r="K69" s="75"/>
      <c r="L69" s="75"/>
      <c r="M69" s="75"/>
      <c r="N69" s="76"/>
      <c r="O69" s="12" t="s">
        <v>45</v>
      </c>
      <c r="P69" s="46">
        <v>0.04</v>
      </c>
      <c r="Q69" s="41" t="s">
        <v>74</v>
      </c>
    </row>
    <row r="70" spans="1:17" ht="15" customHeight="1">
      <c r="A70" s="96"/>
      <c r="B70" s="96"/>
      <c r="C70" s="96"/>
      <c r="D70" s="74" t="s">
        <v>75</v>
      </c>
      <c r="E70" s="75"/>
      <c r="F70" s="75"/>
      <c r="G70" s="75"/>
      <c r="H70" s="75"/>
      <c r="I70" s="75"/>
      <c r="J70" s="75"/>
      <c r="K70" s="75"/>
      <c r="L70" s="75"/>
      <c r="M70" s="75"/>
      <c r="N70" s="76"/>
      <c r="O70" s="12" t="s">
        <v>76</v>
      </c>
      <c r="P70" s="46">
        <v>1</v>
      </c>
      <c r="Q70" s="41"/>
    </row>
    <row r="71" spans="1:17" ht="12.75">
      <c r="A71" s="94" t="s">
        <v>37</v>
      </c>
      <c r="B71" s="95"/>
      <c r="C71" s="95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 t="s">
        <v>38</v>
      </c>
      <c r="Q71" s="54">
        <v>5.925</v>
      </c>
    </row>
    <row r="72" spans="1:17" ht="12.75" customHeight="1">
      <c r="A72" s="83" t="s">
        <v>5</v>
      </c>
      <c r="B72" s="84"/>
      <c r="C72" s="85"/>
      <c r="D72" s="74" t="s">
        <v>44</v>
      </c>
      <c r="E72" s="75"/>
      <c r="F72" s="75"/>
      <c r="G72" s="75"/>
      <c r="H72" s="75"/>
      <c r="I72" s="75"/>
      <c r="J72" s="75"/>
      <c r="K72" s="75"/>
      <c r="L72" s="75"/>
      <c r="M72" s="75"/>
      <c r="N72" s="76"/>
      <c r="O72" s="12" t="s">
        <v>40</v>
      </c>
      <c r="P72" s="52">
        <v>10.7</v>
      </c>
      <c r="Q72" s="41"/>
    </row>
    <row r="73" spans="1:17" ht="12.75">
      <c r="A73" s="88" t="s">
        <v>37</v>
      </c>
      <c r="B73" s="89"/>
      <c r="C73" s="89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 t="s">
        <v>38</v>
      </c>
      <c r="Q73" s="56">
        <v>4.482</v>
      </c>
    </row>
    <row r="74" spans="1:17" ht="12.75" customHeight="1">
      <c r="A74" s="83" t="s">
        <v>5</v>
      </c>
      <c r="B74" s="84"/>
      <c r="C74" s="85"/>
      <c r="D74" s="74" t="s">
        <v>78</v>
      </c>
      <c r="E74" s="75"/>
      <c r="F74" s="75"/>
      <c r="G74" s="75"/>
      <c r="H74" s="75"/>
      <c r="I74" s="75"/>
      <c r="J74" s="75"/>
      <c r="K74" s="75"/>
      <c r="L74" s="75"/>
      <c r="M74" s="75"/>
      <c r="N74" s="76"/>
      <c r="O74" s="12" t="s">
        <v>45</v>
      </c>
      <c r="P74" s="46">
        <v>0.16</v>
      </c>
      <c r="Q74" s="41" t="s">
        <v>77</v>
      </c>
    </row>
    <row r="75" spans="1:17" ht="12.75">
      <c r="A75" s="88" t="s">
        <v>37</v>
      </c>
      <c r="B75" s="89"/>
      <c r="C75" s="89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 t="s">
        <v>38</v>
      </c>
      <c r="Q75" s="56">
        <v>1.605</v>
      </c>
    </row>
    <row r="76" spans="1:17" ht="12.75" customHeight="1">
      <c r="A76" s="83" t="s">
        <v>6</v>
      </c>
      <c r="B76" s="84"/>
      <c r="C76" s="85"/>
      <c r="D76" s="74" t="s">
        <v>78</v>
      </c>
      <c r="E76" s="75"/>
      <c r="F76" s="75"/>
      <c r="G76" s="75"/>
      <c r="H76" s="75"/>
      <c r="I76" s="75"/>
      <c r="J76" s="75"/>
      <c r="K76" s="75"/>
      <c r="L76" s="75"/>
      <c r="M76" s="75"/>
      <c r="N76" s="76"/>
      <c r="O76" s="12" t="s">
        <v>45</v>
      </c>
      <c r="P76" s="46">
        <v>0.08</v>
      </c>
      <c r="Q76" s="41" t="s">
        <v>79</v>
      </c>
    </row>
    <row r="77" spans="1:17" ht="12.75">
      <c r="A77" s="110" t="s">
        <v>37</v>
      </c>
      <c r="B77" s="111"/>
      <c r="C77" s="111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 t="s">
        <v>38</v>
      </c>
      <c r="Q77" s="58">
        <v>0.832</v>
      </c>
    </row>
    <row r="78" spans="1:17" ht="12.75">
      <c r="A78" s="83" t="s">
        <v>24</v>
      </c>
      <c r="B78" s="84"/>
      <c r="C78" s="85"/>
      <c r="D78" s="74" t="s">
        <v>78</v>
      </c>
      <c r="E78" s="75"/>
      <c r="F78" s="75"/>
      <c r="G78" s="75"/>
      <c r="H78" s="75"/>
      <c r="I78" s="75"/>
      <c r="J78" s="75"/>
      <c r="K78" s="75"/>
      <c r="L78" s="75"/>
      <c r="M78" s="75"/>
      <c r="N78" s="76"/>
      <c r="O78" s="12" t="s">
        <v>45</v>
      </c>
      <c r="P78" s="46">
        <v>0.16</v>
      </c>
      <c r="Q78" s="41" t="s">
        <v>77</v>
      </c>
    </row>
    <row r="79" spans="1:17" ht="12.75">
      <c r="A79" s="86" t="s">
        <v>37</v>
      </c>
      <c r="B79" s="87"/>
      <c r="C79" s="87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 t="s">
        <v>38</v>
      </c>
      <c r="Q79" s="67">
        <v>1.609</v>
      </c>
    </row>
    <row r="82" ht="12.75">
      <c r="Q82" s="30"/>
    </row>
    <row r="89" ht="12" customHeight="1"/>
  </sheetData>
  <sheetProtection/>
  <mergeCells count="62">
    <mergeCell ref="A77:C77"/>
    <mergeCell ref="A46:C46"/>
    <mergeCell ref="A52:C52"/>
    <mergeCell ref="A67:C67"/>
    <mergeCell ref="A68:C68"/>
    <mergeCell ref="A55:C55"/>
    <mergeCell ref="A60:C60"/>
    <mergeCell ref="A57:C57"/>
    <mergeCell ref="A56:C56"/>
    <mergeCell ref="A66:C66"/>
    <mergeCell ref="A5:Q5"/>
    <mergeCell ref="D53:N53"/>
    <mergeCell ref="A50:C50"/>
    <mergeCell ref="D50:N50"/>
    <mergeCell ref="D51:N51"/>
    <mergeCell ref="A51:C51"/>
    <mergeCell ref="D52:N52"/>
    <mergeCell ref="D48:N48"/>
    <mergeCell ref="H6:H7"/>
    <mergeCell ref="D46:N46"/>
    <mergeCell ref="A45:Q45"/>
    <mergeCell ref="A59:C59"/>
    <mergeCell ref="D59:N59"/>
    <mergeCell ref="O6:O7"/>
    <mergeCell ref="D57:N57"/>
    <mergeCell ref="A49:C49"/>
    <mergeCell ref="A47:C47"/>
    <mergeCell ref="D47:N47"/>
    <mergeCell ref="L6:N6"/>
    <mergeCell ref="A54:C54"/>
    <mergeCell ref="A62:C62"/>
    <mergeCell ref="D62:N62"/>
    <mergeCell ref="A63:C63"/>
    <mergeCell ref="D63:N63"/>
    <mergeCell ref="A64:C64"/>
    <mergeCell ref="D55:N55"/>
    <mergeCell ref="D6:F6"/>
    <mergeCell ref="A48:C48"/>
    <mergeCell ref="A61:C61"/>
    <mergeCell ref="A72:C72"/>
    <mergeCell ref="A65:C65"/>
    <mergeCell ref="A69:C69"/>
    <mergeCell ref="A71:C71"/>
    <mergeCell ref="A70:C70"/>
    <mergeCell ref="A58:C58"/>
    <mergeCell ref="A53:C53"/>
    <mergeCell ref="D65:N65"/>
    <mergeCell ref="D64:N64"/>
    <mergeCell ref="D61:N61"/>
    <mergeCell ref="D72:N72"/>
    <mergeCell ref="D69:N69"/>
    <mergeCell ref="D70:N70"/>
    <mergeCell ref="A78:C78"/>
    <mergeCell ref="D78:N78"/>
    <mergeCell ref="A79:C79"/>
    <mergeCell ref="D76:N76"/>
    <mergeCell ref="D74:N74"/>
    <mergeCell ref="D67:N67"/>
    <mergeCell ref="A74:C74"/>
    <mergeCell ref="A75:C75"/>
    <mergeCell ref="A73:C73"/>
    <mergeCell ref="A76:C76"/>
  </mergeCells>
  <printOptions/>
  <pageMargins left="0.4479166666666667" right="0.1875" top="1" bottom="1" header="0.5" footer="0.5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2015-02-06T04:47:03Z</cp:lastPrinted>
  <dcterms:created xsi:type="dcterms:W3CDTF">2007-02-04T12:22:59Z</dcterms:created>
  <dcterms:modified xsi:type="dcterms:W3CDTF">2015-02-09T11:21:01Z</dcterms:modified>
  <cp:category/>
  <cp:version/>
  <cp:contentType/>
  <cp:contentStatus/>
</cp:coreProperties>
</file>