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4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4806р-изоляция</t>
        </r>
      </text>
    </comment>
  </commentList>
</comments>
</file>

<file path=xl/sharedStrings.xml><?xml version="1.0" encoding="utf-8"?>
<sst xmlns="http://schemas.openxmlformats.org/spreadsheetml/2006/main" count="79" uniqueCount="62">
  <si>
    <t xml:space="preserve">Остаток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</si>
  <si>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</si>
  <si>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</si>
  <si>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</si>
  <si>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</si>
  <si>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</si>
  <si>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</si>
  <si>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</si>
  <si>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</si>
  <si>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</si>
  <si>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</si>
  <si>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</si>
  <si>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Содержание</t>
  </si>
  <si>
    <t>договор ав.</t>
  </si>
  <si>
    <t>Разное</t>
  </si>
  <si>
    <t>Сод-е</t>
  </si>
  <si>
    <t>апрель</t>
  </si>
  <si>
    <t>эксплуатац.</t>
  </si>
  <si>
    <t>Поступило от населения</t>
  </si>
  <si>
    <t>содержан.</t>
  </si>
  <si>
    <t>ремонт</t>
  </si>
  <si>
    <t>итого</t>
  </si>
  <si>
    <t>Кап. Рем</t>
  </si>
  <si>
    <t>март</t>
  </si>
  <si>
    <t>май</t>
  </si>
  <si>
    <t>июнь</t>
  </si>
  <si>
    <t>Ген. директор ООО "Георгиевск - ЖЭУ"                                            Никишина И.М.</t>
  </si>
  <si>
    <t>Месяц</t>
  </si>
  <si>
    <t>ед. изм.</t>
  </si>
  <si>
    <t>кол-во</t>
  </si>
  <si>
    <t>ИТОГО</t>
  </si>
  <si>
    <t>Разборка трубопроводов из чугунных канализационных труб диаметром: 100мм</t>
  </si>
  <si>
    <t>100м2</t>
  </si>
  <si>
    <t>июль</t>
  </si>
  <si>
    <t>август</t>
  </si>
  <si>
    <t>100м тр-да</t>
  </si>
  <si>
    <t>сентябрь</t>
  </si>
  <si>
    <t>Выкашивание газонов: газонокосилкой</t>
  </si>
  <si>
    <t>октябрь</t>
  </si>
  <si>
    <t>Теплосчетчик</t>
  </si>
  <si>
    <t>ноябрь</t>
  </si>
  <si>
    <t>декабрь</t>
  </si>
  <si>
    <t>февраль</t>
  </si>
  <si>
    <t>100шт</t>
  </si>
  <si>
    <t>Прокладка трубопроводов канализации из полиэтиленовых труб высокой плотности диаметром: 110мм</t>
  </si>
  <si>
    <t>январь</t>
  </si>
  <si>
    <t>Учет доходов и расходов по Ленина133 на 2014 год</t>
  </si>
  <si>
    <t>Место провед-я работ</t>
  </si>
  <si>
    <t>тыс.руб.</t>
  </si>
  <si>
    <t>Перечень выполненных работ по сметам за 2014 год по дому Ленина 133</t>
  </si>
  <si>
    <t>Гидравлическое испытание трубопроводов систем отопления, водопроводов и горячего водоснабжения диаметром: до 100мм</t>
  </si>
  <si>
    <t>кв.8</t>
  </si>
  <si>
    <t>Смена патронов</t>
  </si>
  <si>
    <t>2 покоса</t>
  </si>
  <si>
    <t>кв.11 канализация</t>
  </si>
  <si>
    <t>4806р</t>
  </si>
  <si>
    <t>изоляция</t>
  </si>
  <si>
    <t>ИТОГО:</t>
  </si>
  <si>
    <t>ИТОГО за 2014 год:</t>
  </si>
  <si>
    <t>Гидравлическое испытание</t>
  </si>
  <si>
    <t>Покос</t>
  </si>
  <si>
    <t>Прокладка трубопроводов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</si>
</sst>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_р_."/>
    <numFmt numFmtId="167" formatCode="#,##0.000_р_.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0" xfId="0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1" fontId="2" fillId="0" borderId="14" xfId="0" applyNumberFormat="1" applyFont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33" borderId="13" xfId="0" applyNumberFormat="1" applyFont="1" applyFill="1" applyBorder="1" applyAlignment="1">
      <alignment horizontal="right"/>
    </xf>
    <xf numFmtId="164" fontId="0" fillId="34" borderId="16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4" xfId="0" applyNumberFormat="1" applyFont="1" applyBorder="1" applyAlignment="1">
      <alignment/>
    </xf>
    <xf numFmtId="0" fontId="0" fillId="33" borderId="14" xfId="0" applyFill="1" applyBorder="1" applyAlignment="1">
      <alignment/>
    </xf>
    <xf numFmtId="164" fontId="1" fillId="35" borderId="14" xfId="0" applyNumberFormat="1" applyFont="1" applyFill="1" applyBorder="1" applyAlignment="1">
      <alignment/>
    </xf>
    <xf numFmtId="164" fontId="1" fillId="36" borderId="14" xfId="0" applyNumberFormat="1" applyFont="1" applyFill="1" applyBorder="1" applyAlignment="1">
      <alignment/>
    </xf>
    <xf numFmtId="2" fontId="1" fillId="36" borderId="14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4" fillId="37" borderId="14" xfId="0" applyNumberFormat="1" applyFont="1" applyFill="1" applyBorder="1" applyAlignment="1">
      <alignment/>
    </xf>
    <xf numFmtId="164" fontId="3" fillId="34" borderId="14" xfId="0" applyNumberFormat="1" applyFont="1" applyFill="1" applyBorder="1" applyAlignment="1">
      <alignment/>
    </xf>
    <xf numFmtId="0" fontId="0" fillId="6" borderId="0" xfId="0" applyFill="1" applyAlignment="1">
      <alignment/>
    </xf>
    <xf numFmtId="2" fontId="0" fillId="0" borderId="14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3" fillId="18" borderId="14" xfId="0" applyNumberFormat="1" applyFont="1" applyFill="1" applyBorder="1" applyAlignment="1">
      <alignment horizontal="left"/>
    </xf>
    <xf numFmtId="2" fontId="3" fillId="18" borderId="12" xfId="0" applyNumberFormat="1" applyFont="1" applyFill="1" applyBorder="1" applyAlignment="1">
      <alignment/>
    </xf>
    <xf numFmtId="2" fontId="3" fillId="18" borderId="17" xfId="0" applyNumberFormat="1" applyFont="1" applyFill="1" applyBorder="1" applyAlignment="1">
      <alignment/>
    </xf>
    <xf numFmtId="165" fontId="3" fillId="18" borderId="15" xfId="0" applyNumberFormat="1" applyFont="1" applyFill="1" applyBorder="1" applyAlignment="1">
      <alignment/>
    </xf>
    <xf numFmtId="166" fontId="0" fillId="0" borderId="14" xfId="0" applyNumberFormat="1" applyBorder="1" applyAlignment="1">
      <alignment horizontal="right"/>
    </xf>
    <xf numFmtId="0" fontId="3" fillId="9" borderId="14" xfId="0" applyNumberFormat="1" applyFont="1" applyFill="1" applyBorder="1" applyAlignment="1">
      <alignment horizontal="left"/>
    </xf>
    <xf numFmtId="2" fontId="3" fillId="9" borderId="12" xfId="0" applyNumberFormat="1" applyFont="1" applyFill="1" applyBorder="1" applyAlignment="1">
      <alignment/>
    </xf>
    <xf numFmtId="2" fontId="3" fillId="9" borderId="17" xfId="0" applyNumberFormat="1" applyFont="1" applyFill="1" applyBorder="1" applyAlignment="1">
      <alignment/>
    </xf>
    <xf numFmtId="165" fontId="3" fillId="9" borderId="15" xfId="0" applyNumberFormat="1" applyFont="1" applyFill="1" applyBorder="1" applyAlignment="1">
      <alignment/>
    </xf>
    <xf numFmtId="164" fontId="0" fillId="0" borderId="14" xfId="0" applyNumberFormat="1" applyBorder="1" applyAlignment="1">
      <alignment horizontal="right"/>
    </xf>
    <xf numFmtId="0" fontId="3" fillId="38" borderId="14" xfId="0" applyNumberFormat="1" applyFont="1" applyFill="1" applyBorder="1" applyAlignment="1">
      <alignment horizontal="left"/>
    </xf>
    <xf numFmtId="2" fontId="3" fillId="38" borderId="12" xfId="0" applyNumberFormat="1" applyFont="1" applyFill="1" applyBorder="1" applyAlignment="1">
      <alignment/>
    </xf>
    <xf numFmtId="2" fontId="3" fillId="38" borderId="17" xfId="0" applyNumberFormat="1" applyFont="1" applyFill="1" applyBorder="1" applyAlignment="1">
      <alignment/>
    </xf>
    <xf numFmtId="165" fontId="3" fillId="38" borderId="15" xfId="0" applyNumberFormat="1" applyFont="1" applyFill="1" applyBorder="1" applyAlignment="1">
      <alignment/>
    </xf>
    <xf numFmtId="167" fontId="0" fillId="0" borderId="14" xfId="0" applyNumberFormat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4" fontId="3" fillId="39" borderId="0" xfId="0" applyNumberFormat="1" applyFont="1" applyFill="1" applyAlignment="1">
      <alignment/>
    </xf>
    <xf numFmtId="0" fontId="3" fillId="0" borderId="0" xfId="0" applyFont="1" applyAlignment="1">
      <alignment/>
    </xf>
    <xf numFmtId="164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40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left" wrapText="1"/>
    </xf>
    <xf numFmtId="2" fontId="0" fillId="0" borderId="17" xfId="0" applyNumberFormat="1" applyFont="1" applyBorder="1" applyAlignment="1">
      <alignment horizontal="left" wrapText="1"/>
    </xf>
    <xf numFmtId="2" fontId="0" fillId="0" borderId="15" xfId="0" applyNumberFormat="1" applyFont="1" applyBorder="1" applyAlignment="1">
      <alignment horizontal="left" wrapText="1"/>
    </xf>
    <xf numFmtId="2" fontId="3" fillId="6" borderId="18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left" wrapText="1"/>
    </xf>
    <xf numFmtId="2" fontId="0" fillId="0" borderId="14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R55"/>
  <sheetViews>
    <sheetView tabSelected="1" zoomScalePageLayoutView="0" workbookViewId="0" topLeftCell="A1">
      <selection activeCell="K34" sqref="K34"/>
    </sheetView>
  </sheetViews>
  <sheetFormatPr defaultColWidth="9.00390625" defaultRowHeight="12.75"/>
  <cols>
    <col min="2" max="3" width="2.25390625" style="0" customWidth="1"/>
    <col min="6" max="6" width="12.375" style="0" customWidth="1"/>
    <col min="15" max="15" width="10.875" style="0" customWidth="1"/>
    <col min="16" max="16" width="11.625" style="0" customWidth="1"/>
    <col min="17" max="17" width="12.00390625" style="0" customWidth="1"/>
  </cols>
  <sheetData>
    <row r="4" spans="2:15" ht="12.75"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2.75">
      <c r="A5" s="66" t="s">
        <v>46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13"/>
    </row>
    <row r="6" spans="2:17" ht="12.75">
      <c r="B6" s="4" t="s">
        <v>6</v>
      </c>
      <c r="C6" s="5" t="s">
        <v>7</v>
      </c>
      <c r="D6" s="69" t="s">
        <v>18</v>
      </c>
      <c r="E6" s="70"/>
      <c r="F6" s="71"/>
      <c r="G6" s="6" t="s">
        <v>1</v>
      </c>
      <c r="H6" s="67" t="s">
        <v>3</v>
      </c>
      <c r="I6" s="6" t="s">
        <v>15</v>
      </c>
      <c r="J6" s="7" t="s">
        <v>39</v>
      </c>
      <c r="K6" s="12" t="s">
        <v>4</v>
      </c>
      <c r="L6" s="69" t="s">
        <v>12</v>
      </c>
      <c r="M6" s="70"/>
      <c r="N6" s="71"/>
      <c r="O6" s="67" t="s">
        <v>11</v>
      </c>
      <c r="P6" s="7" t="s">
        <v>0</v>
      </c>
      <c r="Q6" s="64" t="s">
        <v>22</v>
      </c>
    </row>
    <row r="7" spans="2:17" ht="13.5" thickBot="1">
      <c r="B7" s="8"/>
      <c r="C7" s="9" t="s">
        <v>9</v>
      </c>
      <c r="D7" s="11" t="s">
        <v>19</v>
      </c>
      <c r="E7" s="11" t="s">
        <v>20</v>
      </c>
      <c r="F7" s="11" t="s">
        <v>21</v>
      </c>
      <c r="G7" s="11" t="s">
        <v>2</v>
      </c>
      <c r="H7" s="68"/>
      <c r="I7" s="11" t="s">
        <v>8</v>
      </c>
      <c r="J7" s="11"/>
      <c r="K7" s="6" t="s">
        <v>5</v>
      </c>
      <c r="L7" s="14" t="s">
        <v>13</v>
      </c>
      <c r="M7" s="11" t="s">
        <v>14</v>
      </c>
      <c r="N7" s="11" t="s">
        <v>17</v>
      </c>
      <c r="O7" s="68"/>
      <c r="P7" s="10" t="s">
        <v>10</v>
      </c>
      <c r="Q7" s="65"/>
    </row>
    <row r="8" spans="1:17" ht="15" thickBot="1">
      <c r="A8" s="15"/>
      <c r="B8" s="15"/>
      <c r="C8" s="16">
        <v>20</v>
      </c>
      <c r="D8" s="17"/>
      <c r="E8" s="18"/>
      <c r="F8" s="21">
        <v>-103319.16</v>
      </c>
      <c r="G8" s="19"/>
      <c r="H8" s="17"/>
      <c r="I8" s="17"/>
      <c r="J8" s="17"/>
      <c r="K8" s="17"/>
      <c r="L8" s="17"/>
      <c r="M8" s="17"/>
      <c r="N8" s="17"/>
      <c r="O8" s="17"/>
      <c r="P8" s="18"/>
      <c r="Q8" s="30">
        <v>46785.82</v>
      </c>
    </row>
    <row r="9" spans="1:17" ht="14.25">
      <c r="A9" s="15" t="s">
        <v>45</v>
      </c>
      <c r="B9" s="15"/>
      <c r="C9" s="16"/>
      <c r="D9" s="25">
        <f>5309.6+386.4+377.6</f>
        <v>6073.6</v>
      </c>
      <c r="E9" s="25">
        <f>1327.4+96.6+94.4</f>
        <v>1518.4</v>
      </c>
      <c r="F9" s="25">
        <f aca="true" t="shared" si="0" ref="F9:F20">SUM(D9:E9)</f>
        <v>7592</v>
      </c>
      <c r="G9" s="26">
        <f aca="true" t="shared" si="1" ref="G9:G20">SUM(F9*0.03)</f>
        <v>227.76</v>
      </c>
      <c r="H9" s="26">
        <f aca="true" t="shared" si="2" ref="H9:H20">SUM(F9*0.06)</f>
        <v>455.52</v>
      </c>
      <c r="I9" s="26">
        <v>3200</v>
      </c>
      <c r="J9" s="26">
        <v>1200</v>
      </c>
      <c r="K9" s="26">
        <v>0</v>
      </c>
      <c r="L9" s="26">
        <v>1138.48</v>
      </c>
      <c r="M9" s="27">
        <v>0</v>
      </c>
      <c r="N9" s="26">
        <f aca="true" t="shared" si="3" ref="N9:N20">SUM(F9*0.15)</f>
        <v>1138.8</v>
      </c>
      <c r="O9" s="26">
        <f aca="true" t="shared" si="4" ref="O9:O20">SUM(G9:N9)</f>
        <v>7360.56</v>
      </c>
      <c r="P9" s="33">
        <f aca="true" t="shared" si="5" ref="P9:P20">F9-O9</f>
        <v>231.4399999999996</v>
      </c>
      <c r="Q9" s="20">
        <f>663.7+48.3+47.2</f>
        <v>759.2</v>
      </c>
    </row>
    <row r="10" spans="1:17" ht="14.25">
      <c r="A10" s="15" t="s">
        <v>42</v>
      </c>
      <c r="B10" s="15"/>
      <c r="C10" s="16"/>
      <c r="D10" s="25">
        <f>2496.8+1257.6+2328.8</f>
        <v>6083.200000000001</v>
      </c>
      <c r="E10" s="25">
        <f>624.2+314+582</f>
        <v>1520.2</v>
      </c>
      <c r="F10" s="25">
        <f t="shared" si="0"/>
        <v>7603.400000000001</v>
      </c>
      <c r="G10" s="26">
        <f t="shared" si="1"/>
        <v>228.102</v>
      </c>
      <c r="H10" s="26">
        <f t="shared" si="2"/>
        <v>456.204</v>
      </c>
      <c r="I10" s="26">
        <v>3200</v>
      </c>
      <c r="J10" s="26">
        <v>1200</v>
      </c>
      <c r="K10" s="26">
        <v>0</v>
      </c>
      <c r="L10" s="26">
        <v>1138.48</v>
      </c>
      <c r="M10" s="27">
        <v>0</v>
      </c>
      <c r="N10" s="26">
        <f t="shared" si="3"/>
        <v>1140.51</v>
      </c>
      <c r="O10" s="26">
        <f t="shared" si="4"/>
        <v>7363.296</v>
      </c>
      <c r="P10" s="33">
        <f t="shared" si="5"/>
        <v>240.10400000000027</v>
      </c>
      <c r="Q10" s="20">
        <f>312.1+157.2+291.1</f>
        <v>760.4000000000001</v>
      </c>
    </row>
    <row r="11" spans="1:17" ht="14.25">
      <c r="A11" s="15" t="s">
        <v>23</v>
      </c>
      <c r="B11" s="15"/>
      <c r="C11" s="16"/>
      <c r="D11" s="25">
        <f>834.4+350.4+4168.8</f>
        <v>5353.6</v>
      </c>
      <c r="E11" s="25">
        <f>208.6+87.6+1042.2</f>
        <v>1338.4</v>
      </c>
      <c r="F11" s="25">
        <f t="shared" si="0"/>
        <v>6692</v>
      </c>
      <c r="G11" s="26">
        <f t="shared" si="1"/>
        <v>200.76</v>
      </c>
      <c r="H11" s="26">
        <f t="shared" si="2"/>
        <v>401.52</v>
      </c>
      <c r="I11" s="26">
        <v>3200</v>
      </c>
      <c r="J11" s="26">
        <v>1200</v>
      </c>
      <c r="K11" s="26">
        <v>0</v>
      </c>
      <c r="L11" s="26">
        <v>1138.48</v>
      </c>
      <c r="M11" s="27">
        <v>0</v>
      </c>
      <c r="N11" s="26">
        <f t="shared" si="3"/>
        <v>1003.8</v>
      </c>
      <c r="O11" s="26">
        <f t="shared" si="4"/>
        <v>7144.56</v>
      </c>
      <c r="P11" s="33">
        <f t="shared" si="5"/>
        <v>-452.5600000000004</v>
      </c>
      <c r="Q11" s="20">
        <f>104.3+43.8+521.1</f>
        <v>669.2</v>
      </c>
    </row>
    <row r="12" spans="1:17" ht="14.25">
      <c r="A12" s="15" t="s">
        <v>16</v>
      </c>
      <c r="B12" s="15"/>
      <c r="C12" s="16"/>
      <c r="D12" s="25">
        <f>386.4+1531.2+4024</f>
        <v>5941.6</v>
      </c>
      <c r="E12" s="25">
        <f>96.6+382.8+1006</f>
        <v>1485.4</v>
      </c>
      <c r="F12" s="25">
        <f t="shared" si="0"/>
        <v>7427</v>
      </c>
      <c r="G12" s="26">
        <f t="shared" si="1"/>
        <v>222.81</v>
      </c>
      <c r="H12" s="26">
        <f t="shared" si="2"/>
        <v>445.62</v>
      </c>
      <c r="I12" s="26">
        <v>3200</v>
      </c>
      <c r="J12" s="26">
        <v>1200</v>
      </c>
      <c r="K12" s="26">
        <v>0</v>
      </c>
      <c r="L12" s="26">
        <v>1138.48</v>
      </c>
      <c r="M12" s="27">
        <v>0</v>
      </c>
      <c r="N12" s="26">
        <f t="shared" si="3"/>
        <v>1114.05</v>
      </c>
      <c r="O12" s="26">
        <f t="shared" si="4"/>
        <v>7320.96</v>
      </c>
      <c r="P12" s="33">
        <f t="shared" si="5"/>
        <v>106.03999999999996</v>
      </c>
      <c r="Q12" s="20">
        <f>48.3+191.4+503</f>
        <v>742.7</v>
      </c>
    </row>
    <row r="13" spans="1:17" ht="14.25">
      <c r="A13" s="15" t="s">
        <v>24</v>
      </c>
      <c r="B13" s="15"/>
      <c r="C13" s="16"/>
      <c r="D13" s="25">
        <f>1110.4+448+5394.4</f>
        <v>6952.799999999999</v>
      </c>
      <c r="E13" s="25">
        <f>277.6+112+971</f>
        <v>1360.6</v>
      </c>
      <c r="F13" s="25">
        <f t="shared" si="0"/>
        <v>8313.4</v>
      </c>
      <c r="G13" s="26">
        <f t="shared" si="1"/>
        <v>249.402</v>
      </c>
      <c r="H13" s="26">
        <f t="shared" si="2"/>
        <v>498.804</v>
      </c>
      <c r="I13" s="26">
        <v>3200</v>
      </c>
      <c r="J13" s="26">
        <v>0</v>
      </c>
      <c r="K13" s="26">
        <v>0</v>
      </c>
      <c r="L13" s="26">
        <v>1138.48</v>
      </c>
      <c r="M13" s="27">
        <v>0</v>
      </c>
      <c r="N13" s="26">
        <f t="shared" si="3"/>
        <v>1247.01</v>
      </c>
      <c r="O13" s="26">
        <f t="shared" si="4"/>
        <v>6333.696</v>
      </c>
      <c r="P13" s="33">
        <f t="shared" si="5"/>
        <v>1979.7039999999997</v>
      </c>
      <c r="Q13" s="20">
        <f>138.99+56+321.7</f>
        <v>516.69</v>
      </c>
    </row>
    <row r="14" spans="1:17" ht="14.25">
      <c r="A14" s="15" t="s">
        <v>25</v>
      </c>
      <c r="B14" s="15"/>
      <c r="C14" s="16"/>
      <c r="D14" s="25">
        <f>7032+2335.2</f>
        <v>9367.2</v>
      </c>
      <c r="E14" s="25">
        <f>1241.4+496.2</f>
        <v>1737.6000000000001</v>
      </c>
      <c r="F14" s="25">
        <f t="shared" si="0"/>
        <v>11104.800000000001</v>
      </c>
      <c r="G14" s="26">
        <f t="shared" si="1"/>
        <v>333.144</v>
      </c>
      <c r="H14" s="26">
        <f t="shared" si="2"/>
        <v>666.288</v>
      </c>
      <c r="I14" s="26">
        <v>3200</v>
      </c>
      <c r="J14" s="26">
        <v>0</v>
      </c>
      <c r="K14" s="26">
        <v>0</v>
      </c>
      <c r="L14" s="26">
        <v>1138.48</v>
      </c>
      <c r="M14" s="27">
        <v>0</v>
      </c>
      <c r="N14" s="26">
        <f t="shared" si="3"/>
        <v>1665.72</v>
      </c>
      <c r="O14" s="26">
        <f t="shared" si="4"/>
        <v>7003.6320000000005</v>
      </c>
      <c r="P14" s="33">
        <f t="shared" si="5"/>
        <v>4101.168000000001</v>
      </c>
      <c r="Q14" s="20">
        <f>620.51+204.7</f>
        <v>825.21</v>
      </c>
    </row>
    <row r="15" spans="1:17" ht="14.25">
      <c r="A15" s="15" t="s">
        <v>33</v>
      </c>
      <c r="B15" s="15"/>
      <c r="C15" s="16"/>
      <c r="D15" s="25">
        <f>1939.2+7624.8</f>
        <v>9564</v>
      </c>
      <c r="E15" s="25">
        <f>484.8+1731</f>
        <v>2215.8</v>
      </c>
      <c r="F15" s="25">
        <f t="shared" si="0"/>
        <v>11779.8</v>
      </c>
      <c r="G15" s="26">
        <f t="shared" si="1"/>
        <v>353.39399999999995</v>
      </c>
      <c r="H15" s="26">
        <f t="shared" si="2"/>
        <v>706.7879999999999</v>
      </c>
      <c r="I15" s="26">
        <v>3200</v>
      </c>
      <c r="J15" s="26">
        <v>0</v>
      </c>
      <c r="K15" s="26">
        <v>0</v>
      </c>
      <c r="L15" s="26">
        <v>1138.48</v>
      </c>
      <c r="M15" s="27">
        <v>0</v>
      </c>
      <c r="N15" s="26">
        <f t="shared" si="3"/>
        <v>1766.9699999999998</v>
      </c>
      <c r="O15" s="26">
        <f t="shared" si="4"/>
        <v>7165.632</v>
      </c>
      <c r="P15" s="33">
        <f t="shared" si="5"/>
        <v>4614.168</v>
      </c>
      <c r="Q15" s="20">
        <f>242.4+865.5</f>
        <v>1107.9</v>
      </c>
    </row>
    <row r="16" spans="1:17" ht="14.25">
      <c r="A16" s="15" t="s">
        <v>34</v>
      </c>
      <c r="B16" s="15"/>
      <c r="C16" s="16"/>
      <c r="D16" s="25">
        <f>2328.8+2813.6</f>
        <v>5142.4</v>
      </c>
      <c r="E16" s="25">
        <f>582.2+703.4</f>
        <v>1285.6</v>
      </c>
      <c r="F16" s="25">
        <f t="shared" si="0"/>
        <v>6428</v>
      </c>
      <c r="G16" s="26">
        <f t="shared" si="1"/>
        <v>192.84</v>
      </c>
      <c r="H16" s="26">
        <f t="shared" si="2"/>
        <v>385.68</v>
      </c>
      <c r="I16" s="26">
        <v>3200</v>
      </c>
      <c r="J16" s="26">
        <v>0</v>
      </c>
      <c r="K16" s="26">
        <v>125</v>
      </c>
      <c r="L16" s="26">
        <v>1138.48</v>
      </c>
      <c r="M16" s="27">
        <v>0</v>
      </c>
      <c r="N16" s="26">
        <f t="shared" si="3"/>
        <v>964.1999999999999</v>
      </c>
      <c r="O16" s="26">
        <f t="shared" si="4"/>
        <v>6006.2</v>
      </c>
      <c r="P16" s="33">
        <f t="shared" si="5"/>
        <v>421.8000000000002</v>
      </c>
      <c r="Q16" s="20">
        <f>291.1+351.7</f>
        <v>642.8</v>
      </c>
    </row>
    <row r="17" spans="1:17" ht="14.25">
      <c r="A17" s="15" t="s">
        <v>36</v>
      </c>
      <c r="B17" s="15"/>
      <c r="C17" s="16"/>
      <c r="D17" s="25">
        <f>3072.8+5553.6+3896</f>
        <v>12522.400000000001</v>
      </c>
      <c r="E17" s="25">
        <f>768.2+1755.4+960</f>
        <v>3483.6000000000004</v>
      </c>
      <c r="F17" s="25">
        <f t="shared" si="0"/>
        <v>16006.000000000002</v>
      </c>
      <c r="G17" s="26">
        <f t="shared" si="1"/>
        <v>480.18000000000006</v>
      </c>
      <c r="H17" s="26">
        <f t="shared" si="2"/>
        <v>960.3600000000001</v>
      </c>
      <c r="I17" s="26">
        <v>3200</v>
      </c>
      <c r="J17" s="26">
        <v>0</v>
      </c>
      <c r="K17" s="26">
        <v>0</v>
      </c>
      <c r="L17" s="26">
        <v>1138.48</v>
      </c>
      <c r="M17" s="27">
        <v>0</v>
      </c>
      <c r="N17" s="26">
        <f t="shared" si="3"/>
        <v>2400.9</v>
      </c>
      <c r="O17" s="26">
        <f t="shared" si="4"/>
        <v>8179.92</v>
      </c>
      <c r="P17" s="33">
        <f t="shared" si="5"/>
        <v>7826.080000000002</v>
      </c>
      <c r="Q17" s="20">
        <f>384.1+928.48+144</f>
        <v>1456.58</v>
      </c>
    </row>
    <row r="18" spans="1:17" ht="14.25">
      <c r="A18" s="15" t="s">
        <v>38</v>
      </c>
      <c r="B18" s="15"/>
      <c r="C18" s="16"/>
      <c r="D18" s="25">
        <f>2316.8+5726.4</f>
        <v>8043.2</v>
      </c>
      <c r="E18" s="25">
        <f>579.2+1431.6</f>
        <v>2010.8</v>
      </c>
      <c r="F18" s="25">
        <f t="shared" si="0"/>
        <v>10054</v>
      </c>
      <c r="G18" s="26">
        <f t="shared" si="1"/>
        <v>301.62</v>
      </c>
      <c r="H18" s="26">
        <f t="shared" si="2"/>
        <v>603.24</v>
      </c>
      <c r="I18" s="26">
        <v>3200</v>
      </c>
      <c r="J18" s="26">
        <v>1200</v>
      </c>
      <c r="K18" s="26">
        <v>0</v>
      </c>
      <c r="L18" s="26">
        <v>1138.48</v>
      </c>
      <c r="M18" s="27">
        <v>0</v>
      </c>
      <c r="N18" s="26">
        <f t="shared" si="3"/>
        <v>1508.1</v>
      </c>
      <c r="O18" s="26">
        <f t="shared" si="4"/>
        <v>7951.4400000000005</v>
      </c>
      <c r="P18" s="33">
        <f t="shared" si="5"/>
        <v>2102.5599999999995</v>
      </c>
      <c r="Q18" s="20">
        <f>242.3+716.1</f>
        <v>958.4000000000001</v>
      </c>
    </row>
    <row r="19" spans="1:17" ht="14.25">
      <c r="A19" s="15" t="s">
        <v>40</v>
      </c>
      <c r="B19" s="15"/>
      <c r="C19" s="16"/>
      <c r="D19" s="25">
        <f>2316.8+2788.8</f>
        <v>5105.6</v>
      </c>
      <c r="E19" s="25">
        <f>579.2+697.2</f>
        <v>1276.4</v>
      </c>
      <c r="F19" s="25">
        <f t="shared" si="0"/>
        <v>6382</v>
      </c>
      <c r="G19" s="26">
        <f t="shared" si="1"/>
        <v>191.45999999999998</v>
      </c>
      <c r="H19" s="26">
        <f t="shared" si="2"/>
        <v>382.91999999999996</v>
      </c>
      <c r="I19" s="26">
        <v>3200</v>
      </c>
      <c r="J19" s="26">
        <v>1200</v>
      </c>
      <c r="K19" s="26">
        <v>0</v>
      </c>
      <c r="L19" s="26">
        <v>1138.48</v>
      </c>
      <c r="M19" s="27">
        <v>4806</v>
      </c>
      <c r="N19" s="26">
        <f t="shared" si="3"/>
        <v>957.3</v>
      </c>
      <c r="O19" s="26">
        <f t="shared" si="4"/>
        <v>11876.16</v>
      </c>
      <c r="P19" s="33">
        <f t="shared" si="5"/>
        <v>-5494.16</v>
      </c>
      <c r="Q19" s="20">
        <f>348.6</f>
        <v>348.6</v>
      </c>
    </row>
    <row r="20" spans="1:17" ht="14.25">
      <c r="A20" s="15" t="s">
        <v>41</v>
      </c>
      <c r="B20" s="15"/>
      <c r="C20" s="16"/>
      <c r="D20" s="25">
        <f>3119.2+6672</f>
        <v>9791.2</v>
      </c>
      <c r="E20" s="25">
        <f>779.8+1668</f>
        <v>2447.8</v>
      </c>
      <c r="F20" s="25">
        <f t="shared" si="0"/>
        <v>12239</v>
      </c>
      <c r="G20" s="26">
        <f t="shared" si="1"/>
        <v>367.16999999999996</v>
      </c>
      <c r="H20" s="26">
        <f t="shared" si="2"/>
        <v>734.3399999999999</v>
      </c>
      <c r="I20" s="26">
        <v>3200</v>
      </c>
      <c r="J20" s="26">
        <v>1200</v>
      </c>
      <c r="K20" s="26">
        <v>0</v>
      </c>
      <c r="L20" s="26">
        <v>1138.48</v>
      </c>
      <c r="M20" s="27">
        <v>0</v>
      </c>
      <c r="N20" s="26">
        <f t="shared" si="3"/>
        <v>1835.85</v>
      </c>
      <c r="O20" s="26">
        <f t="shared" si="4"/>
        <v>8475.84</v>
      </c>
      <c r="P20" s="33">
        <f t="shared" si="5"/>
        <v>3763.16</v>
      </c>
      <c r="Q20" s="20">
        <f>591.9</f>
        <v>591.9</v>
      </c>
    </row>
    <row r="21" spans="1:17" ht="12.75">
      <c r="A21" s="24" t="s">
        <v>21</v>
      </c>
      <c r="B21" s="24"/>
      <c r="C21" s="24"/>
      <c r="D21" s="28">
        <f>SUM(D9:D20)</f>
        <v>89940.8</v>
      </c>
      <c r="E21" s="28">
        <f>SUM(E9:E20)</f>
        <v>21680.600000000002</v>
      </c>
      <c r="F21" s="28">
        <f>SUM(F8:F20)</f>
        <v>8302.23999999999</v>
      </c>
      <c r="G21" s="28">
        <f aca="true" t="shared" si="6" ref="G21:O21">SUM(G9:G20)</f>
        <v>3348.642</v>
      </c>
      <c r="H21" s="28">
        <f t="shared" si="6"/>
        <v>6697.284</v>
      </c>
      <c r="I21" s="28">
        <f t="shared" si="6"/>
        <v>38400</v>
      </c>
      <c r="J21" s="28">
        <f t="shared" si="6"/>
        <v>8400</v>
      </c>
      <c r="K21" s="28">
        <f t="shared" si="6"/>
        <v>125</v>
      </c>
      <c r="L21" s="28">
        <f t="shared" si="6"/>
        <v>13661.759999999997</v>
      </c>
      <c r="M21" s="29">
        <f t="shared" si="6"/>
        <v>4806</v>
      </c>
      <c r="N21" s="28">
        <f t="shared" si="6"/>
        <v>16743.21</v>
      </c>
      <c r="O21" s="28">
        <f t="shared" si="6"/>
        <v>92181.896</v>
      </c>
      <c r="P21" s="23">
        <f>F21-O21</f>
        <v>-83879.656</v>
      </c>
      <c r="Q21" s="22">
        <f>SUM(Q8:Q20)</f>
        <v>56165.4</v>
      </c>
    </row>
    <row r="22" ht="12.75">
      <c r="Q22" s="34">
        <f>Q21*0.91</f>
        <v>51110.514</v>
      </c>
    </row>
    <row r="23" spans="4:17" ht="12.75">
      <c r="D23" t="s">
        <v>40</v>
      </c>
      <c r="E23" t="s">
        <v>55</v>
      </c>
      <c r="F23" t="s">
        <v>56</v>
      </c>
      <c r="N23" t="s">
        <v>33</v>
      </c>
      <c r="O23" t="s">
        <v>59</v>
      </c>
      <c r="Q23" s="59">
        <v>4920</v>
      </c>
    </row>
    <row r="24" spans="14:17" ht="12.75">
      <c r="N24" t="s">
        <v>36</v>
      </c>
      <c r="O24" t="s">
        <v>60</v>
      </c>
      <c r="Q24" s="59">
        <v>4228</v>
      </c>
    </row>
    <row r="25" spans="14:17" ht="12.75">
      <c r="N25" t="s">
        <v>36</v>
      </c>
      <c r="O25" t="s">
        <v>61</v>
      </c>
      <c r="Q25" s="59">
        <v>1554</v>
      </c>
    </row>
    <row r="26" ht="12.75">
      <c r="Q26" s="62">
        <f>SUM(Q23:Q25)</f>
        <v>10702</v>
      </c>
    </row>
    <row r="27" spans="16:17" ht="12.75">
      <c r="P27" s="61" t="s">
        <v>57</v>
      </c>
      <c r="Q27" s="60">
        <f>Q22-Q26</f>
        <v>40408.514</v>
      </c>
    </row>
    <row r="30" spans="11:13" ht="12.75">
      <c r="K30" s="61" t="s">
        <v>58</v>
      </c>
      <c r="M30" s="63">
        <f>P21+Q27</f>
        <v>-43471.142</v>
      </c>
    </row>
    <row r="35" spans="7:14" ht="15">
      <c r="G35" s="31" t="s">
        <v>26</v>
      </c>
      <c r="H35" s="31"/>
      <c r="I35" s="31"/>
      <c r="J35" s="31"/>
      <c r="K35" s="31"/>
      <c r="L35" s="31"/>
      <c r="M35" s="31"/>
      <c r="N35" s="32"/>
    </row>
    <row r="45" spans="1:18" ht="12.75">
      <c r="A45" s="75" t="s">
        <v>49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35"/>
      <c r="R45" s="41"/>
    </row>
    <row r="46" spans="1:18" ht="38.25">
      <c r="A46" s="36" t="s">
        <v>27</v>
      </c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1"/>
      <c r="O46" s="22" t="s">
        <v>28</v>
      </c>
      <c r="P46" s="22" t="s">
        <v>29</v>
      </c>
      <c r="Q46" s="42" t="s">
        <v>47</v>
      </c>
      <c r="R46" s="38"/>
    </row>
    <row r="47" spans="1:18" ht="24.75" customHeight="1">
      <c r="A47" s="37" t="s">
        <v>33</v>
      </c>
      <c r="B47" s="72" t="s">
        <v>50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4"/>
      <c r="O47" s="22" t="s">
        <v>35</v>
      </c>
      <c r="P47" s="48">
        <v>1.8</v>
      </c>
      <c r="Q47" s="43"/>
      <c r="R47" s="38"/>
    </row>
    <row r="48" spans="1:18" ht="12.75">
      <c r="A48" s="44" t="s">
        <v>30</v>
      </c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 t="s">
        <v>48</v>
      </c>
      <c r="Q48" s="47">
        <v>4.92</v>
      </c>
      <c r="R48" s="40"/>
    </row>
    <row r="49" spans="1:18" ht="12.75">
      <c r="A49" s="37" t="s">
        <v>34</v>
      </c>
      <c r="B49" s="72" t="s">
        <v>52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4"/>
      <c r="O49" s="22" t="s">
        <v>43</v>
      </c>
      <c r="P49" s="53">
        <v>0.01</v>
      </c>
      <c r="Q49" s="43" t="s">
        <v>51</v>
      </c>
      <c r="R49" s="39"/>
    </row>
    <row r="50" spans="1:17" ht="12.75">
      <c r="A50" s="49" t="s">
        <v>30</v>
      </c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 t="s">
        <v>48</v>
      </c>
      <c r="Q50" s="52">
        <v>0.125</v>
      </c>
    </row>
    <row r="51" spans="1:17" ht="12.75">
      <c r="A51" s="37" t="s">
        <v>36</v>
      </c>
      <c r="B51" s="72" t="s">
        <v>37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  <c r="O51" s="22" t="s">
        <v>32</v>
      </c>
      <c r="P51" s="53">
        <v>10.05</v>
      </c>
      <c r="Q51" s="43" t="s">
        <v>53</v>
      </c>
    </row>
    <row r="52" spans="1:17" ht="12.75">
      <c r="A52" s="54" t="s">
        <v>30</v>
      </c>
      <c r="B52" s="55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 t="s">
        <v>48</v>
      </c>
      <c r="Q52" s="57">
        <v>4.228</v>
      </c>
    </row>
    <row r="53" spans="1:17" ht="25.5">
      <c r="A53" s="37" t="s">
        <v>36</v>
      </c>
      <c r="B53" s="72" t="s">
        <v>31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22" t="s">
        <v>35</v>
      </c>
      <c r="P53" s="58">
        <v>0.013</v>
      </c>
      <c r="Q53" s="42" t="s">
        <v>54</v>
      </c>
    </row>
    <row r="54" spans="1:17" ht="12.75">
      <c r="A54" s="37"/>
      <c r="B54" s="76" t="s">
        <v>44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22" t="s">
        <v>35</v>
      </c>
      <c r="P54" s="58">
        <v>0.013</v>
      </c>
      <c r="Q54" s="42"/>
    </row>
    <row r="55" spans="1:17" ht="12.75">
      <c r="A55" s="54" t="s">
        <v>30</v>
      </c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 t="s">
        <v>48</v>
      </c>
      <c r="Q55" s="57">
        <v>1.554</v>
      </c>
    </row>
  </sheetData>
  <sheetProtection/>
  <mergeCells count="13">
    <mergeCell ref="Q6:Q7"/>
    <mergeCell ref="B47:N47"/>
    <mergeCell ref="B46:N46"/>
    <mergeCell ref="A45:P45"/>
    <mergeCell ref="B53:N53"/>
    <mergeCell ref="B54:N54"/>
    <mergeCell ref="A5:P5"/>
    <mergeCell ref="D6:F6"/>
    <mergeCell ref="H6:H7"/>
    <mergeCell ref="L6:N6"/>
    <mergeCell ref="O6:O7"/>
    <mergeCell ref="B51:N51"/>
    <mergeCell ref="B49:N4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2013-11-25T10:57:01Z</cp:lastPrinted>
  <dcterms:created xsi:type="dcterms:W3CDTF">2007-02-04T12:22:59Z</dcterms:created>
  <dcterms:modified xsi:type="dcterms:W3CDTF">2015-02-12T05:35:02Z</dcterms:modified>
  <cp:category/>
  <cp:version/>
  <cp:contentType/>
  <cp:contentStatus/>
</cp:coreProperties>
</file>