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2014" sheetId="3" r:id="rId1"/>
  </sheets>
  <definedNames>
    <definedName name="_xlnm.Print_Area" localSheetId="0">'2014'!$A$5:$Q$35</definedName>
  </definedNames>
  <calcPr calcId="145621" refMode="R1C1"/>
</workbook>
</file>

<file path=xl/calcChain.xml><?xml version="1.0" encoding="utf-8"?>
<calcChain xmlns="http://schemas.openxmlformats.org/spreadsheetml/2006/main">
  <c r="D20" i="3" l="1"/>
  <c r="E20" i="3"/>
  <c r="F20" i="3" s="1"/>
  <c r="Q20" i="3"/>
  <c r="M21" i="3"/>
  <c r="L21" i="3"/>
  <c r="K21" i="3"/>
  <c r="J21" i="3"/>
  <c r="I21" i="3"/>
  <c r="Q25" i="3"/>
  <c r="H20" i="3" l="1"/>
  <c r="N20" i="3"/>
  <c r="G20" i="3"/>
  <c r="O20" i="3" s="1"/>
  <c r="P20" i="3" s="1"/>
  <c r="D19" i="3"/>
  <c r="E19" i="3"/>
  <c r="Q19" i="3"/>
  <c r="F19" i="3" l="1"/>
  <c r="G19" i="3"/>
  <c r="H19" i="3"/>
  <c r="N19" i="3"/>
  <c r="O19" i="3" l="1"/>
  <c r="P19" i="3" s="1"/>
  <c r="D18" i="3"/>
  <c r="E18" i="3"/>
  <c r="Q18" i="3"/>
  <c r="F18" i="3" l="1"/>
  <c r="G18" i="3" s="1"/>
  <c r="D17" i="3"/>
  <c r="E17" i="3"/>
  <c r="Q17" i="3"/>
  <c r="H18" i="3" l="1"/>
  <c r="F17" i="3"/>
  <c r="G17" i="3" s="1"/>
  <c r="N18" i="3"/>
  <c r="Q16" i="3"/>
  <c r="Q15" i="3"/>
  <c r="E16" i="3"/>
  <c r="O18" i="3" l="1"/>
  <c r="P18" i="3" s="1"/>
  <c r="N17" i="3"/>
  <c r="H17" i="3"/>
  <c r="D16" i="3"/>
  <c r="F16" i="3" s="1"/>
  <c r="G16" i="3" s="1"/>
  <c r="O17" i="3" l="1"/>
  <c r="P17" i="3" s="1"/>
  <c r="H16" i="3"/>
  <c r="N16" i="3"/>
  <c r="D15" i="3"/>
  <c r="E15" i="3"/>
  <c r="O16" i="3" l="1"/>
  <c r="P16" i="3" s="1"/>
  <c r="F15" i="3"/>
  <c r="G15" i="3" s="1"/>
  <c r="D14" i="3"/>
  <c r="E14" i="3"/>
  <c r="Q14" i="3"/>
  <c r="F14" i="3" l="1"/>
  <c r="G14" i="3" s="1"/>
  <c r="N15" i="3"/>
  <c r="H15" i="3"/>
  <c r="E13" i="3"/>
  <c r="Q13" i="3"/>
  <c r="D13" i="3"/>
  <c r="O15" i="3" l="1"/>
  <c r="P15" i="3" s="1"/>
  <c r="H14" i="3"/>
  <c r="N14" i="3"/>
  <c r="F13" i="3"/>
  <c r="H13" i="3" s="1"/>
  <c r="Q12" i="3"/>
  <c r="E12" i="3"/>
  <c r="D12" i="3"/>
  <c r="O14" i="3" l="1"/>
  <c r="P14" i="3" s="1"/>
  <c r="F12" i="3"/>
  <c r="N12" i="3" s="1"/>
  <c r="N13" i="3"/>
  <c r="G13" i="3"/>
  <c r="Q11" i="3"/>
  <c r="E11" i="3"/>
  <c r="D11" i="3"/>
  <c r="H12" i="3" l="1"/>
  <c r="G12" i="3"/>
  <c r="O13" i="3"/>
  <c r="P13" i="3" s="1"/>
  <c r="F11" i="3"/>
  <c r="H11" i="3" s="1"/>
  <c r="Q10" i="3"/>
  <c r="E10" i="3"/>
  <c r="D10" i="3"/>
  <c r="O12" i="3" l="1"/>
  <c r="P12" i="3" s="1"/>
  <c r="N11" i="3"/>
  <c r="F10" i="3"/>
  <c r="N10" i="3" s="1"/>
  <c r="G11" i="3"/>
  <c r="Q9" i="3"/>
  <c r="Q21" i="3" s="1"/>
  <c r="H10" i="3" l="1"/>
  <c r="G10" i="3"/>
  <c r="O11" i="3"/>
  <c r="P11" i="3" s="1"/>
  <c r="E9" i="3"/>
  <c r="E21" i="3" s="1"/>
  <c r="D9" i="3"/>
  <c r="D21" i="3" s="1"/>
  <c r="Q22" i="3"/>
  <c r="Q26" i="3" s="1"/>
  <c r="O10" i="3" l="1"/>
  <c r="P10" i="3" s="1"/>
  <c r="F9" i="3"/>
  <c r="F21" i="3" s="1"/>
  <c r="G9" i="3" l="1"/>
  <c r="G21" i="3" s="1"/>
  <c r="H9" i="3"/>
  <c r="H21" i="3" s="1"/>
  <c r="N9" i="3"/>
  <c r="N21" i="3" s="1"/>
  <c r="O9" i="3" l="1"/>
  <c r="O21" i="3" l="1"/>
  <c r="P21" i="3" s="1"/>
  <c r="L28" i="3" s="1"/>
  <c r="P9" i="3"/>
</calcChain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21500р-поверка теплосчетчика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660р-установка зонта на трубу</t>
        </r>
      </text>
    </comment>
    <comment ref="M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3780,6р-юридические услуги</t>
        </r>
      </text>
    </comment>
  </commentList>
</comments>
</file>

<file path=xl/sharedStrings.xml><?xml version="1.0" encoding="utf-8"?>
<sst xmlns="http://schemas.openxmlformats.org/spreadsheetml/2006/main" count="98" uniqueCount="74">
  <si>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</si>
  <si>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</si>
  <si>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</si>
  <si>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</si>
  <si>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</si>
  <si>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</si>
  <si>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</si>
  <si>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</si>
  <si>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</si>
  <si>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</si>
  <si>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</si>
  <si>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</si>
  <si>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</si>
  <si>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</si>
  <si>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</si>
  <si>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</si>
  <si>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</si>
  <si>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</si>
  <si>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</si>
  <si>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</si>
  <si>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</si>
  <si>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</si>
  <si>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</si>
  <si>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с</t>
  </si>
  <si>
    <t>кап.рем.</t>
  </si>
  <si>
    <t>Месяц</t>
  </si>
  <si>
    <t>ед. изм.</t>
  </si>
  <si>
    <t>кол-во</t>
  </si>
  <si>
    <t>ИТОГО</t>
  </si>
  <si>
    <t>июнь</t>
  </si>
  <si>
    <t>июль</t>
  </si>
  <si>
    <t>Обслуживан</t>
  </si>
  <si>
    <t>счетчика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</si>
  <si>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</si>
  <si>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</si>
  <si>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</si>
  <si>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</si>
  <si>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</si>
  <si>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</si>
  <si>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</si>
  <si>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</si>
  <si>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</si>
  <si>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Гидравлическое испытание трубопроводов систем отопления, водопровода и горячего водоснабжения диаметром: до 100мм</t>
  </si>
  <si>
    <t>Учет доходов и расходов по Мельничная 10/2 на 2014 год</t>
  </si>
  <si>
    <t>январь</t>
  </si>
  <si>
    <t>Место провед-я работ</t>
  </si>
  <si>
    <t>тыс.руб.</t>
  </si>
  <si>
    <t>Перечень выполненных работ по сметам за 2014 год по дому Мельничная 10/2</t>
  </si>
  <si>
    <t>21500р</t>
  </si>
  <si>
    <t>поверка теплосчетчика</t>
  </si>
  <si>
    <t>660р</t>
  </si>
  <si>
    <t>установка зонта на трубу</t>
  </si>
  <si>
    <t>100м тр-да</t>
  </si>
  <si>
    <t>кв.7</t>
  </si>
  <si>
    <t>Смена: выключателя</t>
  </si>
  <si>
    <t>100шт</t>
  </si>
  <si>
    <t>ИТОГО:</t>
  </si>
  <si>
    <t>Поверка теплосчетчика</t>
  </si>
  <si>
    <t>Установка зонта</t>
  </si>
  <si>
    <t>Покрытие поверхностей грунтовкой: за 1 раз стен</t>
  </si>
  <si>
    <t>100м2</t>
  </si>
  <si>
    <t>Ремонт штукатурки лестничных маршей и площадок</t>
  </si>
  <si>
    <t>Улучшенная маслянная окраска ранее окрашенных окон: за один раз с расчисткой старой краски до 35%</t>
  </si>
  <si>
    <t>Улучшенная маслянная окраска ранее окрашенных полов: за один раз с расчисткой старой краски до 10%</t>
  </si>
  <si>
    <t>Перетирка штукатурки: внутренних помещений</t>
  </si>
  <si>
    <t>Окраска известковыми составами: по штукатурке</t>
  </si>
  <si>
    <t>Улучшенная маслянная окраска ранее окрашенных стен: за два раза с расчисткой старой краски до 35%</t>
  </si>
  <si>
    <t>Окраска маслянными составами: деревянных поручней</t>
  </si>
  <si>
    <t>Окраска маслянными составами: торцов лестничных маршей</t>
  </si>
  <si>
    <t>Ремонт штукатурки откосов внутри здания по камню и бетону цементно-известковым раствором: прямолинейных</t>
  </si>
  <si>
    <t>Окраска маслянными составами ранее окрашенных металлических решеток и оград: без рельефа за 1 раз</t>
  </si>
  <si>
    <t>ИТОГО за 2014 год:</t>
  </si>
  <si>
    <t>3780,60р</t>
  </si>
  <si>
    <t>юр.услуги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</si>
</sst>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00"/>
    <numFmt numFmtId="166" formatCode="#,##0.0_р_."/>
    <numFmt numFmtId="167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0" xfId="0" applyFont="1" applyAlignment="1"/>
    <xf numFmtId="0" fontId="2" fillId="0" borderId="0" xfId="0" applyFont="1"/>
    <xf numFmtId="0" fontId="2" fillId="0" borderId="2" xfId="0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2" fontId="2" fillId="0" borderId="2" xfId="0" applyNumberFormat="1" applyFont="1" applyFill="1" applyBorder="1"/>
    <xf numFmtId="2" fontId="2" fillId="0" borderId="3" xfId="0" applyNumberFormat="1" applyFont="1" applyBorder="1" applyAlignment="1"/>
    <xf numFmtId="0" fontId="2" fillId="0" borderId="4" xfId="0" applyFont="1" applyBorder="1"/>
    <xf numFmtId="1" fontId="2" fillId="0" borderId="4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64" fontId="2" fillId="2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164" fontId="2" fillId="3" borderId="1" xfId="0" applyNumberFormat="1" applyFont="1" applyFill="1" applyBorder="1"/>
    <xf numFmtId="4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4" fontId="2" fillId="0" borderId="1" xfId="0" applyNumberFormat="1" applyFont="1" applyFill="1" applyBorder="1"/>
    <xf numFmtId="2" fontId="2" fillId="5" borderId="1" xfId="0" applyNumberFormat="1" applyFont="1" applyFill="1" applyBorder="1"/>
    <xf numFmtId="164" fontId="2" fillId="5" borderId="1" xfId="0" applyNumberFormat="1" applyFont="1" applyFill="1" applyBorder="1" applyAlignment="1"/>
    <xf numFmtId="164" fontId="2" fillId="5" borderId="1" xfId="0" applyNumberFormat="1" applyFont="1" applyFill="1" applyBorder="1"/>
    <xf numFmtId="0" fontId="2" fillId="4" borderId="1" xfId="0" applyFont="1" applyFill="1" applyBorder="1"/>
    <xf numFmtId="165" fontId="0" fillId="0" borderId="0" xfId="0" applyNumberFormat="1"/>
    <xf numFmtId="0" fontId="0" fillId="5" borderId="1" xfId="0" applyFill="1" applyBorder="1"/>
    <xf numFmtId="0" fontId="0" fillId="0" borderId="2" xfId="0" applyBorder="1"/>
    <xf numFmtId="0" fontId="0" fillId="4" borderId="7" xfId="0" applyFill="1" applyBorder="1"/>
    <xf numFmtId="0" fontId="2" fillId="5" borderId="2" xfId="0" applyFont="1" applyFill="1" applyBorder="1"/>
    <xf numFmtId="2" fontId="3" fillId="0" borderId="1" xfId="0" applyNumberFormat="1" applyFont="1" applyBorder="1"/>
    <xf numFmtId="4" fontId="0" fillId="0" borderId="0" xfId="0" applyNumberFormat="1"/>
    <xf numFmtId="0" fontId="0" fillId="6" borderId="0" xfId="0" applyFill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7" borderId="1" xfId="0" applyNumberFormat="1" applyFont="1" applyFill="1" applyBorder="1" applyAlignment="1">
      <alignment horizontal="left"/>
    </xf>
    <xf numFmtId="2" fontId="3" fillId="7" borderId="3" xfId="0" applyNumberFormat="1" applyFont="1" applyFill="1" applyBorder="1" applyAlignment="1"/>
    <xf numFmtId="2" fontId="3" fillId="7" borderId="8" xfId="0" applyNumberFormat="1" applyFont="1" applyFill="1" applyBorder="1" applyAlignment="1"/>
    <xf numFmtId="165" fontId="3" fillId="7" borderId="6" xfId="0" applyNumberFormat="1" applyFont="1" applyFill="1" applyBorder="1"/>
    <xf numFmtId="166" fontId="0" fillId="0" borderId="1" xfId="0" applyNumberFormat="1" applyBorder="1" applyAlignment="1">
      <alignment horizontal="right"/>
    </xf>
    <xf numFmtId="0" fontId="3" fillId="8" borderId="1" xfId="0" applyNumberFormat="1" applyFont="1" applyFill="1" applyBorder="1" applyAlignment="1">
      <alignment horizontal="left"/>
    </xf>
    <xf numFmtId="2" fontId="3" fillId="8" borderId="3" xfId="0" applyNumberFormat="1" applyFont="1" applyFill="1" applyBorder="1" applyAlignment="1"/>
    <xf numFmtId="2" fontId="3" fillId="8" borderId="8" xfId="0" applyNumberFormat="1" applyFont="1" applyFill="1" applyBorder="1" applyAlignment="1"/>
    <xf numFmtId="165" fontId="3" fillId="8" borderId="6" xfId="0" applyNumberFormat="1" applyFont="1" applyFill="1" applyBorder="1"/>
    <xf numFmtId="164" fontId="0" fillId="0" borderId="1" xfId="0" applyNumberFormat="1" applyBorder="1" applyAlignment="1">
      <alignment horizontal="right"/>
    </xf>
    <xf numFmtId="167" fontId="3" fillId="9" borderId="0" xfId="0" applyNumberFormat="1" applyFont="1" applyFill="1"/>
    <xf numFmtId="0" fontId="3" fillId="0" borderId="0" xfId="0" applyFont="1"/>
    <xf numFmtId="0" fontId="6" fillId="0" borderId="0" xfId="0" applyFont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 wrapText="1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2" fontId="3" fillId="6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4:T59"/>
  <sheetViews>
    <sheetView tabSelected="1" zoomScaleNormal="100" workbookViewId="0">
      <selection activeCell="M28" sqref="M28"/>
    </sheetView>
  </sheetViews>
  <sheetFormatPr defaultRowHeight="12.75" x14ac:dyDescent="0.2"/>
  <cols>
    <col min="1" max="1" width="6" customWidth="1"/>
    <col min="2" max="3" width="2.28515625" customWidth="1"/>
    <col min="6" max="6" width="10" customWidth="1"/>
    <col min="16" max="16" width="9.85546875" customWidth="1"/>
  </cols>
  <sheetData>
    <row r="4" spans="1:17" x14ac:dyDescent="0.2">
      <c r="B4" s="3"/>
      <c r="C4" s="2"/>
      <c r="D4" s="1"/>
      <c r="E4" s="1"/>
      <c r="F4" s="1"/>
      <c r="G4" s="1"/>
      <c r="H4" s="1"/>
      <c r="I4" s="1"/>
      <c r="J4" s="1" t="s">
        <v>18</v>
      </c>
      <c r="K4" s="1"/>
      <c r="L4" s="1"/>
      <c r="M4" s="1"/>
      <c r="N4" s="1"/>
      <c r="O4" s="1"/>
    </row>
    <row r="5" spans="1:17" x14ac:dyDescent="0.2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"/>
    </row>
    <row r="6" spans="1:17" x14ac:dyDescent="0.2">
      <c r="A6" s="6"/>
      <c r="B6" s="7" t="s">
        <v>8</v>
      </c>
      <c r="C6" s="8" t="s">
        <v>9</v>
      </c>
      <c r="D6" s="64" t="s">
        <v>1</v>
      </c>
      <c r="E6" s="65"/>
      <c r="F6" s="66"/>
      <c r="G6" s="9" t="s">
        <v>2</v>
      </c>
      <c r="H6" s="59" t="s">
        <v>4</v>
      </c>
      <c r="I6" s="9" t="s">
        <v>5</v>
      </c>
      <c r="J6" s="10" t="s">
        <v>31</v>
      </c>
      <c r="K6" s="11" t="s">
        <v>6</v>
      </c>
      <c r="L6" s="56" t="s">
        <v>14</v>
      </c>
      <c r="M6" s="57"/>
      <c r="N6" s="58"/>
      <c r="O6" s="59" t="s">
        <v>13</v>
      </c>
      <c r="P6" s="10" t="s">
        <v>0</v>
      </c>
      <c r="Q6" s="27" t="s">
        <v>24</v>
      </c>
    </row>
    <row r="7" spans="1:17" x14ac:dyDescent="0.2">
      <c r="A7" s="6"/>
      <c r="B7" s="12"/>
      <c r="C7" s="13" t="s">
        <v>11</v>
      </c>
      <c r="D7" s="14" t="s">
        <v>20</v>
      </c>
      <c r="E7" s="14" t="s">
        <v>21</v>
      </c>
      <c r="F7" s="14" t="s">
        <v>22</v>
      </c>
      <c r="G7" s="15" t="s">
        <v>3</v>
      </c>
      <c r="H7" s="60"/>
      <c r="I7" s="15" t="s">
        <v>10</v>
      </c>
      <c r="J7" s="15" t="s">
        <v>32</v>
      </c>
      <c r="K7" s="9" t="s">
        <v>7</v>
      </c>
      <c r="L7" s="16" t="s">
        <v>15</v>
      </c>
      <c r="M7" s="15" t="s">
        <v>16</v>
      </c>
      <c r="N7" s="15" t="s">
        <v>19</v>
      </c>
      <c r="O7" s="60"/>
      <c r="P7" s="12" t="s">
        <v>12</v>
      </c>
      <c r="Q7" s="29"/>
    </row>
    <row r="8" spans="1:17" x14ac:dyDescent="0.2">
      <c r="A8" s="17" t="s">
        <v>23</v>
      </c>
      <c r="B8" s="17">
        <v>718.3</v>
      </c>
      <c r="C8" s="18"/>
      <c r="D8" s="24"/>
      <c r="E8" s="24"/>
      <c r="F8" s="28">
        <v>110867.58</v>
      </c>
      <c r="G8" s="24"/>
      <c r="H8" s="24"/>
      <c r="I8" s="23"/>
      <c r="J8" s="25"/>
      <c r="K8" s="23"/>
      <c r="L8" s="23"/>
      <c r="M8" s="23"/>
      <c r="N8" s="23"/>
      <c r="O8" s="23"/>
      <c r="P8" s="26"/>
      <c r="Q8" s="30">
        <v>20414</v>
      </c>
    </row>
    <row r="9" spans="1:17" x14ac:dyDescent="0.2">
      <c r="A9" s="17" t="s">
        <v>44</v>
      </c>
      <c r="B9" s="17"/>
      <c r="C9" s="18"/>
      <c r="D9" s="19">
        <f>2627.29+541.22</f>
        <v>3168.51</v>
      </c>
      <c r="E9" s="19">
        <f>647.13+133.3</f>
        <v>780.43000000000006</v>
      </c>
      <c r="F9" s="19">
        <f t="shared" ref="F9:F20" si="0">SUM(D9:E9)</f>
        <v>3948.9400000000005</v>
      </c>
      <c r="G9" s="20">
        <f>SUM(F9*0.03)</f>
        <v>118.46820000000001</v>
      </c>
      <c r="H9" s="20">
        <f t="shared" ref="H9:H20" si="1">SUM(F9*0.06)</f>
        <v>236.93640000000002</v>
      </c>
      <c r="I9" s="21">
        <v>0</v>
      </c>
      <c r="J9" s="20">
        <v>0</v>
      </c>
      <c r="K9" s="21">
        <v>0</v>
      </c>
      <c r="L9" s="21">
        <v>768.58</v>
      </c>
      <c r="M9" s="21">
        <v>0</v>
      </c>
      <c r="N9" s="21">
        <f t="shared" ref="N9:N20" si="2">SUM(F9*0.15)</f>
        <v>592.34100000000001</v>
      </c>
      <c r="O9" s="21">
        <f t="shared" ref="O9:O20" si="3">SUM(G9:N9)</f>
        <v>1716.3256000000001</v>
      </c>
      <c r="P9" s="22">
        <f t="shared" ref="P9:P20" si="4">F9-O9</f>
        <v>2232.6144000000004</v>
      </c>
      <c r="Q9" s="35">
        <f>224.02+40.15</f>
        <v>264.17</v>
      </c>
    </row>
    <row r="10" spans="1:17" x14ac:dyDescent="0.2">
      <c r="A10" s="17" t="s">
        <v>38</v>
      </c>
      <c r="B10" s="17"/>
      <c r="C10" s="18"/>
      <c r="D10" s="19">
        <f>1743.64+3351.26+209.61</f>
        <v>5304.51</v>
      </c>
      <c r="E10" s="19">
        <f>429.46+616.08+51.63</f>
        <v>1097.17</v>
      </c>
      <c r="F10" s="19">
        <f t="shared" si="0"/>
        <v>6401.68</v>
      </c>
      <c r="G10" s="20">
        <f t="shared" ref="G10:G20" si="5">SUM(F10*0.03)</f>
        <v>192.0504</v>
      </c>
      <c r="H10" s="20">
        <f t="shared" si="1"/>
        <v>384.10079999999999</v>
      </c>
      <c r="I10" s="21">
        <v>0</v>
      </c>
      <c r="J10" s="20">
        <v>0</v>
      </c>
      <c r="K10" s="21">
        <v>0</v>
      </c>
      <c r="L10" s="21">
        <v>768.58</v>
      </c>
      <c r="M10" s="21">
        <v>0</v>
      </c>
      <c r="N10" s="21">
        <f t="shared" si="2"/>
        <v>960.25199999999995</v>
      </c>
      <c r="O10" s="21">
        <f t="shared" si="3"/>
        <v>2304.9832000000001</v>
      </c>
      <c r="P10" s="22">
        <f t="shared" si="4"/>
        <v>4096.6967999999997</v>
      </c>
      <c r="Q10" s="35">
        <f>198.94+185.6+15.55</f>
        <v>400.09</v>
      </c>
    </row>
    <row r="11" spans="1:17" x14ac:dyDescent="0.2">
      <c r="A11" s="17" t="s">
        <v>39</v>
      </c>
      <c r="B11" s="17"/>
      <c r="C11" s="18"/>
      <c r="D11" s="19">
        <f>1349.34+1014.36+663.89</f>
        <v>3027.5899999999997</v>
      </c>
      <c r="E11" s="19">
        <f>332.34+249.84+163.51</f>
        <v>745.68999999999994</v>
      </c>
      <c r="F11" s="19">
        <f t="shared" si="0"/>
        <v>3773.2799999999997</v>
      </c>
      <c r="G11" s="20">
        <f t="shared" si="5"/>
        <v>113.19839999999999</v>
      </c>
      <c r="H11" s="20">
        <f t="shared" si="1"/>
        <v>226.39679999999998</v>
      </c>
      <c r="I11" s="21">
        <v>0</v>
      </c>
      <c r="J11" s="20">
        <v>0</v>
      </c>
      <c r="K11" s="21">
        <v>0</v>
      </c>
      <c r="L11" s="21">
        <v>768.58</v>
      </c>
      <c r="M11" s="21">
        <v>0</v>
      </c>
      <c r="N11" s="21">
        <f t="shared" si="2"/>
        <v>565.99199999999996</v>
      </c>
      <c r="O11" s="21">
        <f t="shared" si="3"/>
        <v>1674.1672000000001</v>
      </c>
      <c r="P11" s="22">
        <f t="shared" si="4"/>
        <v>2099.1127999999999</v>
      </c>
      <c r="Q11" s="35">
        <f>100.12+75.25+49.25</f>
        <v>224.62</v>
      </c>
    </row>
    <row r="12" spans="1:17" x14ac:dyDescent="0.2">
      <c r="A12" s="17" t="s">
        <v>40</v>
      </c>
      <c r="B12" s="17"/>
      <c r="C12" s="18"/>
      <c r="D12" s="19">
        <f>1833.28+750.83+1535.36</f>
        <v>4119.47</v>
      </c>
      <c r="E12" s="19">
        <f>451.52+184.87+378.16</f>
        <v>1014.55</v>
      </c>
      <c r="F12" s="19">
        <f t="shared" si="0"/>
        <v>5134.0200000000004</v>
      </c>
      <c r="G12" s="20">
        <f t="shared" si="5"/>
        <v>154.0206</v>
      </c>
      <c r="H12" s="20">
        <f t="shared" si="1"/>
        <v>308.0412</v>
      </c>
      <c r="I12" s="21">
        <v>0</v>
      </c>
      <c r="J12" s="20">
        <v>0</v>
      </c>
      <c r="K12" s="21">
        <v>0</v>
      </c>
      <c r="L12" s="21">
        <v>768.58</v>
      </c>
      <c r="M12" s="21">
        <v>0</v>
      </c>
      <c r="N12" s="21">
        <f t="shared" si="2"/>
        <v>770.10300000000007</v>
      </c>
      <c r="O12" s="21">
        <f t="shared" si="3"/>
        <v>2000.7448000000002</v>
      </c>
      <c r="P12" s="22">
        <f t="shared" si="4"/>
        <v>3133.2752</v>
      </c>
      <c r="Q12" s="35">
        <f>95.5+55.7+133.9</f>
        <v>285.10000000000002</v>
      </c>
    </row>
    <row r="13" spans="1:17" x14ac:dyDescent="0.2">
      <c r="A13" s="17" t="s">
        <v>41</v>
      </c>
      <c r="B13" s="17"/>
      <c r="C13" s="18"/>
      <c r="D13" s="19">
        <f>1624.34+748.13+1271.86</f>
        <v>3644.33</v>
      </c>
      <c r="E13" s="19">
        <f>400.06+184.33+313.28</f>
        <v>897.67</v>
      </c>
      <c r="F13" s="19">
        <f t="shared" si="0"/>
        <v>4542</v>
      </c>
      <c r="G13" s="20">
        <f t="shared" si="5"/>
        <v>136.26</v>
      </c>
      <c r="H13" s="20">
        <f t="shared" si="1"/>
        <v>272.52</v>
      </c>
      <c r="I13" s="21">
        <v>0</v>
      </c>
      <c r="J13" s="20">
        <v>0</v>
      </c>
      <c r="K13" s="21">
        <v>0</v>
      </c>
      <c r="L13" s="21">
        <v>768.58</v>
      </c>
      <c r="M13" s="21">
        <v>0</v>
      </c>
      <c r="N13" s="21">
        <f t="shared" si="2"/>
        <v>681.3</v>
      </c>
      <c r="O13" s="21">
        <f t="shared" si="3"/>
        <v>1858.66</v>
      </c>
      <c r="P13" s="22">
        <f t="shared" si="4"/>
        <v>2683.34</v>
      </c>
      <c r="Q13" s="35">
        <f>120.5+55.5+94.42</f>
        <v>270.42</v>
      </c>
    </row>
    <row r="14" spans="1:17" x14ac:dyDescent="0.2">
      <c r="A14" s="17" t="s">
        <v>29</v>
      </c>
      <c r="B14" s="17"/>
      <c r="C14" s="18"/>
      <c r="D14" s="19">
        <f>1351.37+538.52+1821.82</f>
        <v>3711.71</v>
      </c>
      <c r="E14" s="19">
        <f>332.83+132.64+448.72</f>
        <v>914.19</v>
      </c>
      <c r="F14" s="19">
        <f t="shared" si="0"/>
        <v>4625.8999999999996</v>
      </c>
      <c r="G14" s="20">
        <f t="shared" si="5"/>
        <v>138.77699999999999</v>
      </c>
      <c r="H14" s="20">
        <f t="shared" si="1"/>
        <v>277.55399999999997</v>
      </c>
      <c r="I14" s="21">
        <v>0</v>
      </c>
      <c r="J14" s="20">
        <v>0</v>
      </c>
      <c r="K14" s="21">
        <v>0</v>
      </c>
      <c r="L14" s="21">
        <v>768.58</v>
      </c>
      <c r="M14" s="21">
        <v>0</v>
      </c>
      <c r="N14" s="21">
        <f t="shared" si="2"/>
        <v>693.88499999999988</v>
      </c>
      <c r="O14" s="21">
        <f t="shared" si="3"/>
        <v>1878.7959999999998</v>
      </c>
      <c r="P14" s="22">
        <f t="shared" si="4"/>
        <v>2747.1039999999998</v>
      </c>
      <c r="Q14" s="35">
        <f>100.25+39.95+135.18</f>
        <v>275.38</v>
      </c>
    </row>
    <row r="15" spans="1:17" x14ac:dyDescent="0.2">
      <c r="A15" s="17" t="s">
        <v>30</v>
      </c>
      <c r="B15" s="17"/>
      <c r="C15" s="18"/>
      <c r="D15" s="19">
        <f>1209.83+263.53+1481.45</f>
        <v>2954.81</v>
      </c>
      <c r="E15" s="19">
        <f>297.97+64.91+364.89</f>
        <v>727.77</v>
      </c>
      <c r="F15" s="19">
        <f t="shared" si="0"/>
        <v>3682.58</v>
      </c>
      <c r="G15" s="20">
        <f t="shared" si="5"/>
        <v>110.47739999999999</v>
      </c>
      <c r="H15" s="20">
        <f t="shared" si="1"/>
        <v>220.95479999999998</v>
      </c>
      <c r="I15" s="21">
        <v>0</v>
      </c>
      <c r="J15" s="20">
        <v>0</v>
      </c>
      <c r="K15" s="21">
        <v>4130</v>
      </c>
      <c r="L15" s="21">
        <v>768.58</v>
      </c>
      <c r="M15" s="21">
        <v>0</v>
      </c>
      <c r="N15" s="21">
        <f t="shared" si="2"/>
        <v>552.38699999999994</v>
      </c>
      <c r="O15" s="21">
        <f t="shared" si="3"/>
        <v>5782.3991999999998</v>
      </c>
      <c r="P15" s="22">
        <f t="shared" si="4"/>
        <v>-2099.8191999999999</v>
      </c>
      <c r="Q15" s="35">
        <f>89.2</f>
        <v>89.2</v>
      </c>
    </row>
    <row r="16" spans="1:17" x14ac:dyDescent="0.2">
      <c r="A16" s="17" t="s">
        <v>33</v>
      </c>
      <c r="B16" s="17"/>
      <c r="C16" s="18"/>
      <c r="D16" s="19">
        <f>1202.41+3971.83</f>
        <v>5174.24</v>
      </c>
      <c r="E16" s="19">
        <f>296.15+613.25</f>
        <v>909.4</v>
      </c>
      <c r="F16" s="19">
        <f t="shared" si="0"/>
        <v>6083.6399999999994</v>
      </c>
      <c r="G16" s="20">
        <f t="shared" si="5"/>
        <v>182.50919999999996</v>
      </c>
      <c r="H16" s="20">
        <f t="shared" si="1"/>
        <v>365.01839999999993</v>
      </c>
      <c r="I16" s="21">
        <v>0</v>
      </c>
      <c r="J16" s="20">
        <v>0</v>
      </c>
      <c r="K16" s="21">
        <v>0</v>
      </c>
      <c r="L16" s="21">
        <v>768.58</v>
      </c>
      <c r="M16" s="21">
        <v>0</v>
      </c>
      <c r="N16" s="21">
        <f t="shared" si="2"/>
        <v>912.54599999999994</v>
      </c>
      <c r="O16" s="21">
        <f t="shared" si="3"/>
        <v>2228.6535999999996</v>
      </c>
      <c r="P16" s="22">
        <f t="shared" si="4"/>
        <v>3854.9863999999998</v>
      </c>
      <c r="Q16" s="35">
        <f>89.2+94.35</f>
        <v>183.55</v>
      </c>
    </row>
    <row r="17" spans="1:17" x14ac:dyDescent="0.2">
      <c r="A17" s="17" t="s">
        <v>34</v>
      </c>
      <c r="B17" s="17"/>
      <c r="C17" s="18"/>
      <c r="D17" s="19">
        <f>2640.05+6774.07</f>
        <v>9414.119999999999</v>
      </c>
      <c r="E17" s="19">
        <f>650.23+2083.63</f>
        <v>2733.86</v>
      </c>
      <c r="F17" s="19">
        <f t="shared" si="0"/>
        <v>12147.98</v>
      </c>
      <c r="G17" s="20">
        <f t="shared" si="5"/>
        <v>364.43939999999998</v>
      </c>
      <c r="H17" s="20">
        <f t="shared" si="1"/>
        <v>728.87879999999996</v>
      </c>
      <c r="I17" s="21">
        <v>0</v>
      </c>
      <c r="J17" s="20">
        <v>0</v>
      </c>
      <c r="K17" s="21">
        <v>353</v>
      </c>
      <c r="L17" s="21">
        <v>768.58</v>
      </c>
      <c r="M17" s="21">
        <v>0</v>
      </c>
      <c r="N17" s="21">
        <f t="shared" si="2"/>
        <v>1822.1969999999999</v>
      </c>
      <c r="O17" s="21">
        <f t="shared" si="3"/>
        <v>4037.0951999999997</v>
      </c>
      <c r="P17" s="22">
        <f t="shared" si="4"/>
        <v>8110.8847999999998</v>
      </c>
      <c r="Q17" s="35">
        <f>195.85+496.3</f>
        <v>692.15</v>
      </c>
    </row>
    <row r="18" spans="1:17" x14ac:dyDescent="0.2">
      <c r="A18" s="17" t="s">
        <v>35</v>
      </c>
      <c r="B18" s="17"/>
      <c r="C18" s="18"/>
      <c r="D18" s="19">
        <f>3186+2036.71</f>
        <v>5222.71</v>
      </c>
      <c r="E18" s="19">
        <f>784.7+878.49</f>
        <v>1663.19</v>
      </c>
      <c r="F18" s="19">
        <f t="shared" si="0"/>
        <v>6885.9</v>
      </c>
      <c r="G18" s="20">
        <f t="shared" si="5"/>
        <v>206.57699999999997</v>
      </c>
      <c r="H18" s="20">
        <f t="shared" si="1"/>
        <v>413.15399999999994</v>
      </c>
      <c r="I18" s="21">
        <v>0</v>
      </c>
      <c r="J18" s="20">
        <v>0</v>
      </c>
      <c r="K18" s="21">
        <v>0</v>
      </c>
      <c r="L18" s="21">
        <v>768.58</v>
      </c>
      <c r="M18" s="21">
        <v>0</v>
      </c>
      <c r="N18" s="21">
        <f t="shared" si="2"/>
        <v>1032.885</v>
      </c>
      <c r="O18" s="21">
        <f t="shared" si="3"/>
        <v>2421.1959999999999</v>
      </c>
      <c r="P18" s="22">
        <f t="shared" si="4"/>
        <v>4464.7039999999997</v>
      </c>
      <c r="Q18" s="35">
        <f>236.37+614</f>
        <v>850.37</v>
      </c>
    </row>
    <row r="19" spans="1:17" x14ac:dyDescent="0.2">
      <c r="A19" s="17" t="s">
        <v>36</v>
      </c>
      <c r="B19" s="17"/>
      <c r="C19" s="18"/>
      <c r="D19" s="19">
        <f>2865.15+1271.83</f>
        <v>4136.9799999999996</v>
      </c>
      <c r="E19" s="19">
        <f>447.54+313.25</f>
        <v>760.79</v>
      </c>
      <c r="F19" s="19">
        <f t="shared" si="0"/>
        <v>4897.7699999999995</v>
      </c>
      <c r="G19" s="20">
        <f t="shared" si="5"/>
        <v>146.93309999999997</v>
      </c>
      <c r="H19" s="20">
        <f t="shared" si="1"/>
        <v>293.86619999999994</v>
      </c>
      <c r="I19" s="21">
        <v>0</v>
      </c>
      <c r="J19" s="20">
        <v>0</v>
      </c>
      <c r="K19" s="21">
        <v>49735</v>
      </c>
      <c r="L19" s="21">
        <v>768.58</v>
      </c>
      <c r="M19" s="21">
        <v>3780.6</v>
      </c>
      <c r="N19" s="21">
        <f t="shared" si="2"/>
        <v>734.66549999999995</v>
      </c>
      <c r="O19" s="21">
        <f t="shared" si="3"/>
        <v>55459.644800000002</v>
      </c>
      <c r="P19" s="22">
        <f t="shared" si="4"/>
        <v>-50561.874800000005</v>
      </c>
      <c r="Q19" s="35">
        <f>69.3+94.35</f>
        <v>163.64999999999998</v>
      </c>
    </row>
    <row r="20" spans="1:17" x14ac:dyDescent="0.2">
      <c r="A20" s="17" t="s">
        <v>37</v>
      </c>
      <c r="B20" s="17"/>
      <c r="C20" s="18"/>
      <c r="D20" s="19">
        <f>1202.41+2087.38</f>
        <v>3289.79</v>
      </c>
      <c r="E20" s="19">
        <f>585.9+514.12</f>
        <v>1100.02</v>
      </c>
      <c r="F20" s="19">
        <f t="shared" si="0"/>
        <v>4389.8099999999995</v>
      </c>
      <c r="G20" s="20">
        <f t="shared" si="5"/>
        <v>131.69429999999997</v>
      </c>
      <c r="H20" s="20">
        <f t="shared" si="1"/>
        <v>263.38859999999994</v>
      </c>
      <c r="I20" s="21">
        <v>0</v>
      </c>
      <c r="J20" s="20">
        <v>0</v>
      </c>
      <c r="K20" s="21">
        <v>0</v>
      </c>
      <c r="L20" s="21">
        <v>768.58</v>
      </c>
      <c r="M20" s="21">
        <v>0</v>
      </c>
      <c r="N20" s="21">
        <f t="shared" si="2"/>
        <v>658.47149999999988</v>
      </c>
      <c r="O20" s="21">
        <f t="shared" si="3"/>
        <v>1822.1343999999997</v>
      </c>
      <c r="P20" s="22">
        <f t="shared" si="4"/>
        <v>2567.6755999999996</v>
      </c>
      <c r="Q20" s="35">
        <f>62.2+20</f>
        <v>82.2</v>
      </c>
    </row>
    <row r="21" spans="1:17" ht="13.5" thickBot="1" x14ac:dyDescent="0.25">
      <c r="A21" s="32" t="s">
        <v>22</v>
      </c>
      <c r="B21" s="32"/>
      <c r="C21" s="32"/>
      <c r="D21" s="29">
        <f>SUM(D9:D20)</f>
        <v>53168.770000000011</v>
      </c>
      <c r="E21" s="29">
        <f>SUM(E9:E20)</f>
        <v>13344.730000000003</v>
      </c>
      <c r="F21" s="29">
        <f>SUM(F8:F20)</f>
        <v>177381.08</v>
      </c>
      <c r="G21" s="29">
        <f t="shared" ref="G21:O21" si="6">SUM(G9:G20)</f>
        <v>1995.4049999999997</v>
      </c>
      <c r="H21" s="29">
        <f t="shared" si="6"/>
        <v>3990.8099999999995</v>
      </c>
      <c r="I21" s="29">
        <f t="shared" si="6"/>
        <v>0</v>
      </c>
      <c r="J21" s="29">
        <f t="shared" si="6"/>
        <v>0</v>
      </c>
      <c r="K21" s="29">
        <f t="shared" si="6"/>
        <v>54218</v>
      </c>
      <c r="L21" s="29">
        <f t="shared" si="6"/>
        <v>9222.9600000000009</v>
      </c>
      <c r="M21" s="29">
        <f t="shared" si="6"/>
        <v>3780.6</v>
      </c>
      <c r="N21" s="29">
        <f t="shared" si="6"/>
        <v>9977.0249999999996</v>
      </c>
      <c r="O21" s="29">
        <f t="shared" si="6"/>
        <v>83184.800000000003</v>
      </c>
      <c r="P21" s="36">
        <f>F21-O21</f>
        <v>94196.279999999984</v>
      </c>
      <c r="Q21" s="33">
        <f>SUM(Q8:Q20)</f>
        <v>24194.899999999998</v>
      </c>
    </row>
    <row r="22" spans="1:17" ht="13.5" thickBot="1" x14ac:dyDescent="0.25">
      <c r="Q22" s="34">
        <f>Q21*0.91</f>
        <v>22017.359</v>
      </c>
    </row>
    <row r="23" spans="1:17" x14ac:dyDescent="0.2">
      <c r="D23" t="s">
        <v>29</v>
      </c>
      <c r="E23" t="s">
        <v>48</v>
      </c>
      <c r="F23" t="s">
        <v>49</v>
      </c>
      <c r="N23" t="s">
        <v>29</v>
      </c>
      <c r="O23" t="s">
        <v>57</v>
      </c>
      <c r="Q23" s="35">
        <v>21500</v>
      </c>
    </row>
    <row r="24" spans="1:17" x14ac:dyDescent="0.2">
      <c r="D24" t="s">
        <v>30</v>
      </c>
      <c r="E24" t="s">
        <v>50</v>
      </c>
      <c r="F24" t="s">
        <v>51</v>
      </c>
      <c r="N24" t="s">
        <v>30</v>
      </c>
      <c r="O24" t="s">
        <v>58</v>
      </c>
      <c r="Q24" s="35">
        <v>660</v>
      </c>
    </row>
    <row r="25" spans="1:17" x14ac:dyDescent="0.2">
      <c r="D25" t="s">
        <v>36</v>
      </c>
      <c r="E25" t="s">
        <v>72</v>
      </c>
      <c r="F25" t="s">
        <v>73</v>
      </c>
      <c r="Q25" s="53">
        <f>SUM(Q23:Q24)</f>
        <v>22160</v>
      </c>
    </row>
    <row r="26" spans="1:17" x14ac:dyDescent="0.2">
      <c r="P26" s="52" t="s">
        <v>56</v>
      </c>
      <c r="Q26" s="51">
        <f>Q22-Q25</f>
        <v>-142.64099999999962</v>
      </c>
    </row>
    <row r="28" spans="1:17" x14ac:dyDescent="0.2">
      <c r="J28" s="52" t="s">
        <v>71</v>
      </c>
      <c r="L28" s="54">
        <f>P21+Q26</f>
        <v>94053.638999999981</v>
      </c>
    </row>
    <row r="33" spans="1:20" x14ac:dyDescent="0.2">
      <c r="F33" s="55" t="s">
        <v>17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6" spans="1:20" x14ac:dyDescent="0.2">
      <c r="Q36" s="37"/>
    </row>
    <row r="37" spans="1:20" x14ac:dyDescent="0.2">
      <c r="T37" s="37"/>
    </row>
    <row r="40" spans="1:20" x14ac:dyDescent="0.2">
      <c r="A40" s="77" t="s">
        <v>47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8"/>
    </row>
    <row r="41" spans="1:20" ht="38.25" x14ac:dyDescent="0.2">
      <c r="A41" s="61" t="s">
        <v>25</v>
      </c>
      <c r="B41" s="62"/>
      <c r="C41" s="63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4" t="s">
        <v>26</v>
      </c>
      <c r="P41" s="4" t="s">
        <v>27</v>
      </c>
      <c r="Q41" s="40" t="s">
        <v>45</v>
      </c>
    </row>
    <row r="42" spans="1:20" ht="26.25" customHeight="1" x14ac:dyDescent="0.2">
      <c r="A42" s="70" t="s">
        <v>30</v>
      </c>
      <c r="B42" s="71"/>
      <c r="C42" s="72"/>
      <c r="D42" s="73" t="s">
        <v>42</v>
      </c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4" t="s">
        <v>52</v>
      </c>
      <c r="P42" s="45">
        <v>1.5</v>
      </c>
      <c r="Q42" s="39"/>
    </row>
    <row r="43" spans="1:20" x14ac:dyDescent="0.2">
      <c r="A43" s="41" t="s">
        <v>28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 t="s">
        <v>46</v>
      </c>
      <c r="Q43" s="44">
        <v>4.13</v>
      </c>
    </row>
    <row r="44" spans="1:20" x14ac:dyDescent="0.2">
      <c r="A44" s="70" t="s">
        <v>34</v>
      </c>
      <c r="B44" s="71"/>
      <c r="C44" s="72"/>
      <c r="D44" s="73" t="s">
        <v>54</v>
      </c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4" t="s">
        <v>55</v>
      </c>
      <c r="P44" s="50">
        <v>0.01</v>
      </c>
      <c r="Q44" s="39" t="s">
        <v>53</v>
      </c>
    </row>
    <row r="45" spans="1:20" x14ac:dyDescent="0.2">
      <c r="A45" s="46" t="s">
        <v>28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 t="s">
        <v>46</v>
      </c>
      <c r="Q45" s="49">
        <v>0.35299999999999998</v>
      </c>
    </row>
    <row r="46" spans="1:20" x14ac:dyDescent="0.2">
      <c r="A46" s="70" t="s">
        <v>36</v>
      </c>
      <c r="B46" s="71"/>
      <c r="C46" s="72"/>
      <c r="D46" s="73" t="s">
        <v>59</v>
      </c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4" t="s">
        <v>60</v>
      </c>
      <c r="P46" s="45">
        <v>0.8</v>
      </c>
      <c r="Q46" s="39"/>
    </row>
    <row r="47" spans="1:20" x14ac:dyDescent="0.2">
      <c r="A47" s="68"/>
      <c r="B47" s="68"/>
      <c r="C47" s="68"/>
      <c r="D47" s="69" t="s">
        <v>62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4" t="s">
        <v>60</v>
      </c>
      <c r="P47" s="50">
        <v>7.0000000000000007E-2</v>
      </c>
      <c r="Q47" s="39"/>
    </row>
    <row r="48" spans="1:20" x14ac:dyDescent="0.2">
      <c r="A48" s="76"/>
      <c r="B48" s="76"/>
      <c r="C48" s="76"/>
      <c r="D48" s="69" t="s">
        <v>61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4" t="s">
        <v>60</v>
      </c>
      <c r="P48" s="50">
        <v>0.18</v>
      </c>
      <c r="Q48" s="39"/>
    </row>
    <row r="49" spans="1:19" x14ac:dyDescent="0.2">
      <c r="A49" s="76"/>
      <c r="B49" s="76"/>
      <c r="C49" s="76"/>
      <c r="D49" s="69" t="s">
        <v>63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4" t="s">
        <v>60</v>
      </c>
      <c r="P49" s="50">
        <v>0.06</v>
      </c>
      <c r="Q49" s="39"/>
    </row>
    <row r="50" spans="1:19" x14ac:dyDescent="0.2">
      <c r="A50" s="76"/>
      <c r="B50" s="76"/>
      <c r="C50" s="76"/>
      <c r="D50" s="69" t="s">
        <v>69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4" t="s">
        <v>60</v>
      </c>
      <c r="P50" s="50">
        <v>0.04</v>
      </c>
      <c r="Q50" s="39"/>
      <c r="S50" t="s">
        <v>18</v>
      </c>
    </row>
    <row r="51" spans="1:19" x14ac:dyDescent="0.2">
      <c r="A51" s="76"/>
      <c r="B51" s="76"/>
      <c r="C51" s="76"/>
      <c r="D51" s="69" t="s">
        <v>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4" t="s">
        <v>60</v>
      </c>
      <c r="P51" s="45">
        <v>0.4</v>
      </c>
      <c r="Q51" s="39"/>
    </row>
    <row r="52" spans="1:19" x14ac:dyDescent="0.2">
      <c r="A52" s="68"/>
      <c r="B52" s="68"/>
      <c r="C52" s="68"/>
      <c r="D52" s="73" t="s">
        <v>65</v>
      </c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4" t="s">
        <v>60</v>
      </c>
      <c r="P52" s="45">
        <v>1.1000000000000001</v>
      </c>
      <c r="Q52" s="39"/>
    </row>
    <row r="53" spans="1:19" x14ac:dyDescent="0.2">
      <c r="A53" s="68"/>
      <c r="B53" s="68"/>
      <c r="C53" s="68"/>
      <c r="D53" s="69" t="s">
        <v>66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4" t="s">
        <v>60</v>
      </c>
      <c r="P53" s="45">
        <v>0.8</v>
      </c>
      <c r="Q53" s="39"/>
    </row>
    <row r="54" spans="1:19" x14ac:dyDescent="0.2">
      <c r="A54" s="68"/>
      <c r="B54" s="68"/>
      <c r="C54" s="68"/>
      <c r="D54" s="69" t="s">
        <v>67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4" t="s">
        <v>60</v>
      </c>
      <c r="P54" s="50">
        <v>0.02</v>
      </c>
      <c r="Q54" s="39"/>
    </row>
    <row r="55" spans="1:19" x14ac:dyDescent="0.2">
      <c r="A55" s="68"/>
      <c r="B55" s="68"/>
      <c r="C55" s="68"/>
      <c r="D55" s="69" t="s">
        <v>68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4" t="s">
        <v>60</v>
      </c>
      <c r="P55" s="50">
        <v>0.08</v>
      </c>
      <c r="Q55" s="39"/>
    </row>
    <row r="56" spans="1:19" x14ac:dyDescent="0.2">
      <c r="A56" s="68"/>
      <c r="B56" s="68"/>
      <c r="C56" s="68"/>
      <c r="D56" s="69" t="s">
        <v>70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4" t="s">
        <v>60</v>
      </c>
      <c r="P56" s="50">
        <v>0.14000000000000001</v>
      </c>
      <c r="Q56" s="39"/>
    </row>
    <row r="57" spans="1:19" x14ac:dyDescent="0.2">
      <c r="A57" s="46" t="s">
        <v>28</v>
      </c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 t="s">
        <v>46</v>
      </c>
      <c r="Q57" s="49">
        <v>49.734999999999999</v>
      </c>
    </row>
    <row r="59" spans="1:19" x14ac:dyDescent="0.2">
      <c r="Q59" s="31"/>
    </row>
  </sheetData>
  <mergeCells count="35">
    <mergeCell ref="A44:C44"/>
    <mergeCell ref="D44:N44"/>
    <mergeCell ref="F33:Q33"/>
    <mergeCell ref="A5:P5"/>
    <mergeCell ref="D6:F6"/>
    <mergeCell ref="H6:H7"/>
    <mergeCell ref="L6:N6"/>
    <mergeCell ref="O6:O7"/>
    <mergeCell ref="A40:P40"/>
    <mergeCell ref="A41:C41"/>
    <mergeCell ref="D41:N41"/>
    <mergeCell ref="A42:C42"/>
    <mergeCell ref="D42:N42"/>
    <mergeCell ref="A46:C46"/>
    <mergeCell ref="D46:N46"/>
    <mergeCell ref="A52:C52"/>
    <mergeCell ref="D52:N52"/>
    <mergeCell ref="A47:C47"/>
    <mergeCell ref="D47:N47"/>
    <mergeCell ref="A48:C48"/>
    <mergeCell ref="D48:N48"/>
    <mergeCell ref="A49:C49"/>
    <mergeCell ref="D49:N49"/>
    <mergeCell ref="A50:C50"/>
    <mergeCell ref="D50:N50"/>
    <mergeCell ref="A51:C51"/>
    <mergeCell ref="D51:N51"/>
    <mergeCell ref="A56:C56"/>
    <mergeCell ref="D56:N56"/>
    <mergeCell ref="A53:C53"/>
    <mergeCell ref="D53:N53"/>
    <mergeCell ref="A54:C54"/>
    <mergeCell ref="D54:N54"/>
    <mergeCell ref="A55:C55"/>
    <mergeCell ref="D55:N55"/>
  </mergeCells>
  <phoneticPr fontId="2" type="noConversion"/>
  <pageMargins left="0.75" right="8.3333333333333329E-2" top="1" bottom="1" header="0.5" footer="0.5"/>
  <pageSetup paperSize="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2014-08-29T04:54:00Z</cp:lastPrinted>
  <dcterms:created xsi:type="dcterms:W3CDTF">2007-02-04T12:22:59Z</dcterms:created>
  <dcterms:modified xsi:type="dcterms:W3CDTF">2015-02-09T11:55:06Z</dcterms:modified>
</cp:coreProperties>
</file>