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225" windowHeight="4875" activeTab="0"/>
  </bookViews>
  <sheets>
    <sheet name="2014" sheetId="1" r:id="rId1"/>
  </sheets>
  <definedNames>
    <definedName name="_xlnm.Print_Area" localSheetId="0">'2014'!$A$5:$O$55</definedName>
  </definedNames>
  <calcPr fullCalcOnLoad="1" refMode="R1C1"/>
</workbook>
</file>

<file path=xl/sharedStrings.xml><?xml version="1.0" encoding="utf-8"?>
<sst xmlns="http://schemas.openxmlformats.org/spreadsheetml/2006/main" count="82" uniqueCount="60">
  <si>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</si>
  <si>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</si>
  <si>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</si>
  <si>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</si>
  <si>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</si>
  <si>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</si>
  <si>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</si>
  <si>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</si>
  <si>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</si>
  <si>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</si>
  <si>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</si>
  <si>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</si>
  <si>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</si>
  <si>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</si>
  <si>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</si>
  <si>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</si>
  <si>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</si>
  <si>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</si>
  <si>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 xml:space="preserve">эксплуатац. </t>
  </si>
  <si>
    <t>содержание</t>
  </si>
  <si>
    <t>ремонт</t>
  </si>
  <si>
    <t>итого</t>
  </si>
  <si>
    <t>март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</si>
  <si>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</si>
  <si>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</si>
  <si>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</si>
  <si>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</si>
  <si>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</si>
  <si>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</si>
  <si>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</si>
  <si>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1шт</t>
  </si>
  <si>
    <t>100шт</t>
  </si>
  <si>
    <t>июль</t>
  </si>
  <si>
    <t>август</t>
  </si>
  <si>
    <t>100м тр-да</t>
  </si>
  <si>
    <t>сентябрь</t>
  </si>
  <si>
    <t>октябрь</t>
  </si>
  <si>
    <t>ноябрь</t>
  </si>
  <si>
    <t>декабрь</t>
  </si>
  <si>
    <t>февраль</t>
  </si>
  <si>
    <t>апрель</t>
  </si>
  <si>
    <t>Гидравлическое испытание трубопроводов систем отопления, водопровода и горячего водоснабжения диаметром: до 100мм</t>
  </si>
  <si>
    <t>100м2</t>
  </si>
  <si>
    <t>Учет доходов и расходов по Пушкина 47 на 2014 год</t>
  </si>
  <si>
    <t>Место провед-я работ</t>
  </si>
  <si>
    <t>январь</t>
  </si>
  <si>
    <t>Перечень выполненных работ по сметам за 2014 год по дому Пушкина 47</t>
  </si>
  <si>
    <t>Разборка трубопроводов из водогазопроводных  труб диаметром: до 32мм</t>
  </si>
  <si>
    <t>подвал</t>
  </si>
  <si>
    <t>Прокладка трубопроводов водоснабжения из напорных полиэтиленовых труб низкого давления среднего типа наружным диаметром: 20мм</t>
  </si>
  <si>
    <t>Прокладка трубопроводов водоснабжения из напорных полиэтиленовых труб низкого давления среднего типа наружным диаметром: 32мм</t>
  </si>
  <si>
    <t>кв.4</t>
  </si>
  <si>
    <t>Разборка трубопроводов из чугунных канализационных труб диаметром: 100мм</t>
  </si>
  <si>
    <t>Прокладка трубопроводов канализации из полиэтиленовых труб высокой плотности диаметром: 110мм</t>
  </si>
  <si>
    <t>тепловой узел</t>
  </si>
  <si>
    <t>Установка вентилей, задвижек, затворов, клапанов обратных, кранов проходных на трубопроводах из стальных труб диаметром: до 25мм</t>
  </si>
  <si>
    <t>Устройство кровель из оцинкованной стали над приямками подвалов</t>
  </si>
  <si>
    <t>Смена патронов</t>
  </si>
  <si>
    <t>Патроны потолочные</t>
  </si>
  <si>
    <t>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</si>
</sst>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64" fontId="0" fillId="4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5" borderId="12" xfId="0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164" fontId="6" fillId="32" borderId="10" xfId="0" applyNumberFormat="1" applyFont="1" applyFill="1" applyBorder="1" applyAlignment="1">
      <alignment/>
    </xf>
    <xf numFmtId="164" fontId="0" fillId="5" borderId="17" xfId="0" applyNumberFormat="1" applyFill="1" applyBorder="1" applyAlignment="1">
      <alignment/>
    </xf>
    <xf numFmtId="164" fontId="6" fillId="5" borderId="12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2" xfId="0" applyBorder="1" applyAlignment="1">
      <alignment wrapText="1"/>
    </xf>
    <xf numFmtId="165" fontId="5" fillId="33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34" borderId="12" xfId="0" applyNumberFormat="1" applyFont="1" applyFill="1" applyBorder="1" applyAlignment="1">
      <alignment horizontal="left"/>
    </xf>
    <xf numFmtId="2" fontId="5" fillId="34" borderId="13" xfId="0" applyNumberFormat="1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165" fontId="5" fillId="34" borderId="15" xfId="0" applyNumberFormat="1" applyFont="1" applyFill="1" applyBorder="1" applyAlignment="1">
      <alignment/>
    </xf>
    <xf numFmtId="0" fontId="5" fillId="35" borderId="12" xfId="0" applyNumberFormat="1" applyFont="1" applyFill="1" applyBorder="1" applyAlignment="1">
      <alignment horizontal="left"/>
    </xf>
    <xf numFmtId="2" fontId="5" fillId="35" borderId="13" xfId="0" applyNumberFormat="1" applyFont="1" applyFill="1" applyBorder="1" applyAlignment="1">
      <alignment/>
    </xf>
    <xf numFmtId="2" fontId="5" fillId="35" borderId="16" xfId="0" applyNumberFormat="1" applyFont="1" applyFill="1" applyBorder="1" applyAlignment="1">
      <alignment/>
    </xf>
    <xf numFmtId="165" fontId="5" fillId="35" borderId="15" xfId="0" applyNumberFormat="1" applyFont="1" applyFill="1" applyBorder="1" applyAlignment="1">
      <alignment/>
    </xf>
    <xf numFmtId="164" fontId="0" fillId="0" borderId="12" xfId="0" applyNumberFormat="1" applyBorder="1" applyAlignment="1">
      <alignment horizontal="right" wrapText="1"/>
    </xf>
    <xf numFmtId="0" fontId="5" fillId="15" borderId="12" xfId="0" applyNumberFormat="1" applyFont="1" applyFill="1" applyBorder="1" applyAlignment="1">
      <alignment horizontal="left"/>
    </xf>
    <xf numFmtId="2" fontId="5" fillId="15" borderId="13" xfId="0" applyNumberFormat="1" applyFont="1" applyFill="1" applyBorder="1" applyAlignment="1">
      <alignment/>
    </xf>
    <xf numFmtId="2" fontId="5" fillId="15" borderId="16" xfId="0" applyNumberFormat="1" applyFont="1" applyFill="1" applyBorder="1" applyAlignment="1">
      <alignment/>
    </xf>
    <xf numFmtId="165" fontId="5" fillId="15" borderId="15" xfId="0" applyNumberFormat="1" applyFont="1" applyFill="1" applyBorder="1" applyAlignment="1">
      <alignment/>
    </xf>
    <xf numFmtId="0" fontId="5" fillId="12" borderId="12" xfId="0" applyNumberFormat="1" applyFont="1" applyFill="1" applyBorder="1" applyAlignment="1">
      <alignment horizontal="left"/>
    </xf>
    <xf numFmtId="2" fontId="5" fillId="12" borderId="13" xfId="0" applyNumberFormat="1" applyFont="1" applyFill="1" applyBorder="1" applyAlignment="1">
      <alignment/>
    </xf>
    <xf numFmtId="2" fontId="5" fillId="12" borderId="16" xfId="0" applyNumberFormat="1" applyFont="1" applyFill="1" applyBorder="1" applyAlignment="1">
      <alignment/>
    </xf>
    <xf numFmtId="165" fontId="5" fillId="12" borderId="15" xfId="0" applyNumberFormat="1" applyFont="1" applyFill="1" applyBorder="1" applyAlignment="1">
      <alignment/>
    </xf>
    <xf numFmtId="2" fontId="0" fillId="0" borderId="13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5" fillId="4" borderId="0" xfId="0" applyFont="1" applyFill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5" fillId="0" borderId="12" xfId="0" applyNumberFormat="1" applyFont="1" applyBorder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4:O54"/>
  <sheetViews>
    <sheetView tabSelected="1" workbookViewId="0" topLeftCell="A1">
      <selection activeCell="P25" sqref="P25"/>
    </sheetView>
  </sheetViews>
  <sheetFormatPr defaultColWidth="9.00390625" defaultRowHeight="12.75"/>
  <cols>
    <col min="1" max="1" width="6.00390625" style="0" customWidth="1"/>
    <col min="2" max="3" width="1.75390625" style="0" customWidth="1"/>
    <col min="4" max="4" width="11.125" style="0" customWidth="1"/>
    <col min="5" max="5" width="11.00390625" style="0" customWidth="1"/>
    <col min="6" max="6" width="11.625" style="0" customWidth="1"/>
    <col min="7" max="7" width="10.25390625" style="0" customWidth="1"/>
    <col min="8" max="8" width="9.875" style="0" customWidth="1"/>
    <col min="9" max="9" width="10.00390625" style="0" customWidth="1"/>
    <col min="10" max="10" width="11.625" style="0" customWidth="1"/>
    <col min="12" max="12" width="10.00390625" style="0" customWidth="1"/>
    <col min="13" max="13" width="10.375" style="0" customWidth="1"/>
    <col min="14" max="14" width="11.25390625" style="0" customWidth="1"/>
    <col min="15" max="15" width="11.125" style="0" customWidth="1"/>
  </cols>
  <sheetData>
    <row r="4" spans="2:14" ht="12.75">
      <c r="B4" s="3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.75">
      <c r="A5" s="66" t="s">
        <v>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2.75">
      <c r="B6" s="4" t="s">
        <v>8</v>
      </c>
      <c r="C6" s="5" t="s">
        <v>9</v>
      </c>
      <c r="D6" s="67" t="s">
        <v>1</v>
      </c>
      <c r="E6" s="68"/>
      <c r="F6" s="69"/>
      <c r="G6" s="6" t="s">
        <v>2</v>
      </c>
      <c r="H6" s="70" t="s">
        <v>4</v>
      </c>
      <c r="I6" s="6" t="s">
        <v>5</v>
      </c>
      <c r="J6" s="15" t="s">
        <v>6</v>
      </c>
      <c r="K6" s="72" t="s">
        <v>14</v>
      </c>
      <c r="L6" s="73"/>
      <c r="M6" s="74"/>
      <c r="N6" s="70" t="s">
        <v>13</v>
      </c>
      <c r="O6" s="7" t="s">
        <v>0</v>
      </c>
    </row>
    <row r="7" spans="2:15" ht="13.5" thickBot="1">
      <c r="B7" s="8"/>
      <c r="C7" s="9" t="s">
        <v>11</v>
      </c>
      <c r="D7" s="18" t="s">
        <v>19</v>
      </c>
      <c r="E7" s="18" t="s">
        <v>20</v>
      </c>
      <c r="F7" s="6" t="s">
        <v>21</v>
      </c>
      <c r="G7" s="11" t="s">
        <v>3</v>
      </c>
      <c r="H7" s="71"/>
      <c r="I7" s="11" t="s">
        <v>10</v>
      </c>
      <c r="J7" s="6" t="s">
        <v>7</v>
      </c>
      <c r="K7" s="17" t="s">
        <v>15</v>
      </c>
      <c r="L7" s="11" t="s">
        <v>16</v>
      </c>
      <c r="M7" s="11" t="s">
        <v>18</v>
      </c>
      <c r="N7" s="71"/>
      <c r="O7" s="10" t="s">
        <v>12</v>
      </c>
    </row>
    <row r="8" spans="1:15" ht="12.75">
      <c r="A8" s="12"/>
      <c r="B8" s="13">
        <v>555.4</v>
      </c>
      <c r="C8" s="14"/>
      <c r="D8" s="22"/>
      <c r="E8" s="25"/>
      <c r="F8" s="37">
        <v>35595.18</v>
      </c>
      <c r="G8" s="26"/>
      <c r="H8" s="22"/>
      <c r="I8" s="23"/>
      <c r="J8" s="23"/>
      <c r="K8" s="23"/>
      <c r="L8" s="23"/>
      <c r="M8" s="23"/>
      <c r="N8" s="23"/>
      <c r="O8" s="19"/>
    </row>
    <row r="9" spans="1:15" ht="12.75">
      <c r="A9" s="28" t="s">
        <v>45</v>
      </c>
      <c r="B9" s="4"/>
      <c r="C9" s="5"/>
      <c r="D9" s="29">
        <f>1319.4+846</f>
        <v>2165.4</v>
      </c>
      <c r="E9" s="29">
        <f>878.6+564</f>
        <v>1442.6</v>
      </c>
      <c r="F9" s="20">
        <f aca="true" t="shared" si="0" ref="F9:F20">SUM(D9:E9)</f>
        <v>3608</v>
      </c>
      <c r="G9" s="21">
        <f aca="true" t="shared" si="1" ref="G9:G20">SUM((F9*0.03))</f>
        <v>108.24</v>
      </c>
      <c r="H9" s="21">
        <f aca="true" t="shared" si="2" ref="H9:H20">SUM(((F9*0.06)))</f>
        <v>216.48</v>
      </c>
      <c r="I9" s="30">
        <v>552</v>
      </c>
      <c r="J9" s="30">
        <v>8435</v>
      </c>
      <c r="K9" s="30">
        <v>598.45</v>
      </c>
      <c r="L9" s="30">
        <v>0</v>
      </c>
      <c r="M9" s="36">
        <f aca="true" t="shared" si="3" ref="M9:M20">SUM(F9*0.15)</f>
        <v>541.1999999999999</v>
      </c>
      <c r="N9" s="30">
        <f aca="true" t="shared" si="4" ref="N9:N20">SUM(G9:M9)</f>
        <v>10451.37</v>
      </c>
      <c r="O9" s="31">
        <f aca="true" t="shared" si="5" ref="O9:O20">F9-N9</f>
        <v>-6843.370000000001</v>
      </c>
    </row>
    <row r="10" spans="1:15" ht="12.75">
      <c r="A10" s="28" t="s">
        <v>39</v>
      </c>
      <c r="B10" s="4"/>
      <c r="C10" s="5"/>
      <c r="D10" s="29">
        <f>603.6+843.6+1107.6</f>
        <v>2554.8</v>
      </c>
      <c r="E10" s="29">
        <f>402.4+562.4+738.4</f>
        <v>1703.1999999999998</v>
      </c>
      <c r="F10" s="20">
        <f t="shared" si="0"/>
        <v>4258</v>
      </c>
      <c r="G10" s="21">
        <f t="shared" si="1"/>
        <v>127.74</v>
      </c>
      <c r="H10" s="21">
        <f t="shared" si="2"/>
        <v>255.48</v>
      </c>
      <c r="I10" s="30">
        <v>552</v>
      </c>
      <c r="J10" s="30">
        <v>0</v>
      </c>
      <c r="K10" s="30">
        <v>598.45</v>
      </c>
      <c r="L10" s="30">
        <v>0</v>
      </c>
      <c r="M10" s="36">
        <f t="shared" si="3"/>
        <v>638.6999999999999</v>
      </c>
      <c r="N10" s="30">
        <f t="shared" si="4"/>
        <v>2172.37</v>
      </c>
      <c r="O10" s="31">
        <f t="shared" si="5"/>
        <v>2085.63</v>
      </c>
    </row>
    <row r="11" spans="1:15" ht="12.75">
      <c r="A11" s="28" t="s">
        <v>22</v>
      </c>
      <c r="B11" s="4"/>
      <c r="C11" s="5"/>
      <c r="D11" s="29">
        <f>602.4+1104.6+526.8</f>
        <v>2233.8</v>
      </c>
      <c r="E11" s="29">
        <f>401.6+736.4+351.2</f>
        <v>1489.2</v>
      </c>
      <c r="F11" s="20">
        <f t="shared" si="0"/>
        <v>3723</v>
      </c>
      <c r="G11" s="21">
        <f t="shared" si="1"/>
        <v>111.69</v>
      </c>
      <c r="H11" s="21">
        <f t="shared" si="2"/>
        <v>223.38</v>
      </c>
      <c r="I11" s="30">
        <v>552</v>
      </c>
      <c r="J11" s="30">
        <v>0</v>
      </c>
      <c r="K11" s="30">
        <v>598.45</v>
      </c>
      <c r="L11" s="30">
        <v>0</v>
      </c>
      <c r="M11" s="36">
        <f t="shared" si="3"/>
        <v>558.4499999999999</v>
      </c>
      <c r="N11" s="30">
        <f t="shared" si="4"/>
        <v>2043.9699999999998</v>
      </c>
      <c r="O11" s="31">
        <f t="shared" si="5"/>
        <v>1679.0300000000002</v>
      </c>
    </row>
    <row r="12" spans="1:15" ht="12.75">
      <c r="A12" s="28" t="s">
        <v>40</v>
      </c>
      <c r="B12" s="4"/>
      <c r="C12" s="5"/>
      <c r="D12" s="29">
        <f>1121.4+589.8+786</f>
        <v>2497.2</v>
      </c>
      <c r="E12" s="29">
        <f>747.6+393.2+524</f>
        <v>1664.8</v>
      </c>
      <c r="F12" s="20">
        <f t="shared" si="0"/>
        <v>4162</v>
      </c>
      <c r="G12" s="21">
        <f t="shared" si="1"/>
        <v>124.86</v>
      </c>
      <c r="H12" s="21">
        <f t="shared" si="2"/>
        <v>249.72</v>
      </c>
      <c r="I12" s="30">
        <v>552</v>
      </c>
      <c r="J12" s="30">
        <v>1125</v>
      </c>
      <c r="K12" s="30">
        <v>598.45</v>
      </c>
      <c r="L12" s="30">
        <v>0</v>
      </c>
      <c r="M12" s="36">
        <f t="shared" si="3"/>
        <v>624.3</v>
      </c>
      <c r="N12" s="30">
        <f t="shared" si="4"/>
        <v>3274.33</v>
      </c>
      <c r="O12" s="31">
        <f t="shared" si="5"/>
        <v>887.6700000000001</v>
      </c>
    </row>
    <row r="13" spans="1:15" ht="12.75">
      <c r="A13" s="28" t="s">
        <v>23</v>
      </c>
      <c r="B13" s="4"/>
      <c r="C13" s="5"/>
      <c r="D13" s="29">
        <f>3343.39+260.4+270.6</f>
        <v>3874.39</v>
      </c>
      <c r="E13" s="29">
        <f>1885.2+173.6+180.4</f>
        <v>2239.2000000000003</v>
      </c>
      <c r="F13" s="20">
        <f t="shared" si="0"/>
        <v>6113.59</v>
      </c>
      <c r="G13" s="21">
        <f t="shared" si="1"/>
        <v>183.4077</v>
      </c>
      <c r="H13" s="21">
        <f t="shared" si="2"/>
        <v>366.8154</v>
      </c>
      <c r="I13" s="30">
        <v>552</v>
      </c>
      <c r="J13" s="30">
        <v>0</v>
      </c>
      <c r="K13" s="30">
        <v>598.45</v>
      </c>
      <c r="L13" s="30">
        <v>0</v>
      </c>
      <c r="M13" s="36">
        <f t="shared" si="3"/>
        <v>917.0385</v>
      </c>
      <c r="N13" s="30">
        <f t="shared" si="4"/>
        <v>2617.7116</v>
      </c>
      <c r="O13" s="31">
        <f t="shared" si="5"/>
        <v>3495.8784</v>
      </c>
    </row>
    <row r="14" spans="1:15" ht="12.75">
      <c r="A14" s="28" t="s">
        <v>24</v>
      </c>
      <c r="B14" s="4"/>
      <c r="C14" s="5"/>
      <c r="D14" s="29">
        <f>2766.4+528.6</f>
        <v>3295</v>
      </c>
      <c r="E14" s="29">
        <f>1766.32+352.4</f>
        <v>2118.72</v>
      </c>
      <c r="F14" s="20">
        <f t="shared" si="0"/>
        <v>5413.719999999999</v>
      </c>
      <c r="G14" s="21">
        <f t="shared" si="1"/>
        <v>162.41159999999996</v>
      </c>
      <c r="H14" s="21">
        <f t="shared" si="2"/>
        <v>324.82319999999993</v>
      </c>
      <c r="I14" s="30">
        <v>552</v>
      </c>
      <c r="J14" s="30">
        <v>1088</v>
      </c>
      <c r="K14" s="30">
        <v>598.45</v>
      </c>
      <c r="L14" s="30">
        <v>0</v>
      </c>
      <c r="M14" s="36">
        <f t="shared" si="3"/>
        <v>812.0579999999999</v>
      </c>
      <c r="N14" s="30">
        <f t="shared" si="4"/>
        <v>3537.7428</v>
      </c>
      <c r="O14" s="31">
        <f t="shared" si="5"/>
        <v>1875.9771999999994</v>
      </c>
    </row>
    <row r="15" spans="1:15" ht="12.75">
      <c r="A15" s="28" t="s">
        <v>32</v>
      </c>
      <c r="B15" s="4"/>
      <c r="C15" s="5"/>
      <c r="D15" s="29">
        <f>3074.4+324.6+270.6</f>
        <v>3669.6</v>
      </c>
      <c r="E15" s="29">
        <f>2049.6+216.4+180.4</f>
        <v>2446.4</v>
      </c>
      <c r="F15" s="20">
        <f t="shared" si="0"/>
        <v>6116</v>
      </c>
      <c r="G15" s="21">
        <f t="shared" si="1"/>
        <v>183.48</v>
      </c>
      <c r="H15" s="21">
        <f t="shared" si="2"/>
        <v>366.96</v>
      </c>
      <c r="I15" s="30">
        <v>552</v>
      </c>
      <c r="J15" s="30">
        <v>3025</v>
      </c>
      <c r="K15" s="30">
        <v>598.45</v>
      </c>
      <c r="L15" s="30">
        <v>0</v>
      </c>
      <c r="M15" s="36">
        <f t="shared" si="3"/>
        <v>917.4</v>
      </c>
      <c r="N15" s="30">
        <f t="shared" si="4"/>
        <v>5643.29</v>
      </c>
      <c r="O15" s="31">
        <f t="shared" si="5"/>
        <v>472.71000000000004</v>
      </c>
    </row>
    <row r="16" spans="1:15" ht="12.75">
      <c r="A16" s="28" t="s">
        <v>33</v>
      </c>
      <c r="B16" s="4"/>
      <c r="C16" s="5"/>
      <c r="D16" s="29">
        <f>2226.6+528.6</f>
        <v>2755.2</v>
      </c>
      <c r="E16" s="29">
        <f>1484.4+352.4</f>
        <v>1836.8000000000002</v>
      </c>
      <c r="F16" s="20">
        <f t="shared" si="0"/>
        <v>4592</v>
      </c>
      <c r="G16" s="21">
        <f t="shared" si="1"/>
        <v>137.76</v>
      </c>
      <c r="H16" s="21">
        <f t="shared" si="2"/>
        <v>275.52</v>
      </c>
      <c r="I16" s="30">
        <v>552</v>
      </c>
      <c r="J16" s="30">
        <v>0</v>
      </c>
      <c r="K16" s="30">
        <v>598.45</v>
      </c>
      <c r="L16" s="30">
        <v>0</v>
      </c>
      <c r="M16" s="36">
        <f t="shared" si="3"/>
        <v>688.8</v>
      </c>
      <c r="N16" s="30">
        <f t="shared" si="4"/>
        <v>2252.5299999999997</v>
      </c>
      <c r="O16" s="31">
        <f t="shared" si="5"/>
        <v>2339.4700000000003</v>
      </c>
    </row>
    <row r="17" spans="1:15" ht="12.75">
      <c r="A17" s="28" t="s">
        <v>35</v>
      </c>
      <c r="B17" s="4"/>
      <c r="C17" s="5"/>
      <c r="D17" s="29">
        <f>3007.2+528.6</f>
        <v>3535.7999999999997</v>
      </c>
      <c r="E17" s="29">
        <f>2222+352.4</f>
        <v>2574.4</v>
      </c>
      <c r="F17" s="20">
        <f t="shared" si="0"/>
        <v>6110.2</v>
      </c>
      <c r="G17" s="21">
        <f t="shared" si="1"/>
        <v>183.30599999999998</v>
      </c>
      <c r="H17" s="21">
        <f t="shared" si="2"/>
        <v>366.61199999999997</v>
      </c>
      <c r="I17" s="30">
        <v>552</v>
      </c>
      <c r="J17" s="30">
        <v>0</v>
      </c>
      <c r="K17" s="30">
        <v>598.45</v>
      </c>
      <c r="L17" s="30">
        <v>0</v>
      </c>
      <c r="M17" s="36">
        <f t="shared" si="3"/>
        <v>916.53</v>
      </c>
      <c r="N17" s="30">
        <f t="shared" si="4"/>
        <v>2616.898</v>
      </c>
      <c r="O17" s="31">
        <f t="shared" si="5"/>
        <v>3493.3019999999997</v>
      </c>
    </row>
    <row r="18" spans="1:15" ht="12.75">
      <c r="A18" s="28" t="s">
        <v>36</v>
      </c>
      <c r="B18" s="4"/>
      <c r="C18" s="5"/>
      <c r="D18" s="29">
        <f>2224.2+528.6</f>
        <v>2752.7999999999997</v>
      </c>
      <c r="E18" s="29">
        <f>1482.8+352.4</f>
        <v>1835.1999999999998</v>
      </c>
      <c r="F18" s="20">
        <f t="shared" si="0"/>
        <v>4588</v>
      </c>
      <c r="G18" s="21">
        <f t="shared" si="1"/>
        <v>137.64</v>
      </c>
      <c r="H18" s="21">
        <f t="shared" si="2"/>
        <v>275.28</v>
      </c>
      <c r="I18" s="30">
        <v>552</v>
      </c>
      <c r="J18" s="30">
        <v>0</v>
      </c>
      <c r="K18" s="30">
        <v>598.45</v>
      </c>
      <c r="L18" s="30">
        <v>0</v>
      </c>
      <c r="M18" s="36">
        <f t="shared" si="3"/>
        <v>688.1999999999999</v>
      </c>
      <c r="N18" s="30">
        <f t="shared" si="4"/>
        <v>2251.5699999999997</v>
      </c>
      <c r="O18" s="31">
        <f t="shared" si="5"/>
        <v>2336.4300000000003</v>
      </c>
    </row>
    <row r="19" spans="1:15" ht="12.75">
      <c r="A19" s="28" t="s">
        <v>37</v>
      </c>
      <c r="B19" s="4"/>
      <c r="C19" s="5"/>
      <c r="D19" s="29">
        <f>2290.2+528.6</f>
        <v>2818.7999999999997</v>
      </c>
      <c r="E19" s="29">
        <f>1526.8+352.4</f>
        <v>1879.1999999999998</v>
      </c>
      <c r="F19" s="20">
        <f t="shared" si="0"/>
        <v>4698</v>
      </c>
      <c r="G19" s="21">
        <f t="shared" si="1"/>
        <v>140.94</v>
      </c>
      <c r="H19" s="21">
        <f t="shared" si="2"/>
        <v>281.88</v>
      </c>
      <c r="I19" s="30">
        <v>552</v>
      </c>
      <c r="J19" s="30">
        <v>0</v>
      </c>
      <c r="K19" s="30">
        <v>598.45</v>
      </c>
      <c r="L19" s="30">
        <v>0</v>
      </c>
      <c r="M19" s="36">
        <f t="shared" si="3"/>
        <v>704.6999999999999</v>
      </c>
      <c r="N19" s="30">
        <f t="shared" si="4"/>
        <v>2277.97</v>
      </c>
      <c r="O19" s="31">
        <f t="shared" si="5"/>
        <v>2420.03</v>
      </c>
    </row>
    <row r="20" spans="1:15" ht="12.75">
      <c r="A20" s="28" t="s">
        <v>38</v>
      </c>
      <c r="B20" s="4"/>
      <c r="C20" s="5"/>
      <c r="D20" s="29">
        <f>4575.6+786.6</f>
        <v>5362.200000000001</v>
      </c>
      <c r="E20" s="29">
        <f>3550.4+524.4</f>
        <v>4074.8</v>
      </c>
      <c r="F20" s="20">
        <f t="shared" si="0"/>
        <v>9437</v>
      </c>
      <c r="G20" s="21">
        <f t="shared" si="1"/>
        <v>283.11</v>
      </c>
      <c r="H20" s="21">
        <f t="shared" si="2"/>
        <v>566.22</v>
      </c>
      <c r="I20" s="30">
        <v>552</v>
      </c>
      <c r="J20" s="30">
        <f>17460+238</f>
        <v>17698</v>
      </c>
      <c r="K20" s="30">
        <v>598.45</v>
      </c>
      <c r="L20" s="30">
        <v>0</v>
      </c>
      <c r="M20" s="36">
        <f t="shared" si="3"/>
        <v>1415.55</v>
      </c>
      <c r="N20" s="30">
        <f t="shared" si="4"/>
        <v>21113.33</v>
      </c>
      <c r="O20" s="31">
        <f t="shared" si="5"/>
        <v>-11676.330000000002</v>
      </c>
    </row>
    <row r="21" spans="1:15" ht="12.75">
      <c r="A21" s="32" t="s">
        <v>21</v>
      </c>
      <c r="B21" s="32"/>
      <c r="C21" s="32"/>
      <c r="D21" s="24">
        <f>SUM(D9:D20)</f>
        <v>37514.99</v>
      </c>
      <c r="E21" s="24">
        <f>SUM(E9:E20)</f>
        <v>25304.52</v>
      </c>
      <c r="F21" s="24">
        <f>SUM(F8:F20)</f>
        <v>98414.69</v>
      </c>
      <c r="G21" s="24">
        <f aca="true" t="shared" si="6" ref="G21:N21">SUM(G9:G20)</f>
        <v>1884.5853000000002</v>
      </c>
      <c r="H21" s="24">
        <f t="shared" si="6"/>
        <v>3769.1706000000004</v>
      </c>
      <c r="I21" s="24">
        <f t="shared" si="6"/>
        <v>6624</v>
      </c>
      <c r="J21" s="24">
        <f t="shared" si="6"/>
        <v>31371</v>
      </c>
      <c r="K21" s="38">
        <f t="shared" si="6"/>
        <v>7181.399999999999</v>
      </c>
      <c r="L21" s="24">
        <f t="shared" si="6"/>
        <v>0</v>
      </c>
      <c r="M21" s="38">
        <f t="shared" si="6"/>
        <v>9422.9265</v>
      </c>
      <c r="N21" s="24">
        <f t="shared" si="6"/>
        <v>60253.0824</v>
      </c>
      <c r="O21" s="39">
        <f>F21-N21</f>
        <v>38161.6076</v>
      </c>
    </row>
    <row r="23" spans="9:11" ht="12.75">
      <c r="I23" s="40"/>
      <c r="J23" s="40"/>
      <c r="K23" s="40"/>
    </row>
    <row r="27" ht="12.75">
      <c r="N27" s="45"/>
    </row>
    <row r="29" spans="5:15" ht="12.75">
      <c r="E29" s="16" t="s">
        <v>17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7" spans="1:15" ht="12.75">
      <c r="A37" s="79" t="s">
        <v>46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38.25">
      <c r="A38" s="72" t="s">
        <v>25</v>
      </c>
      <c r="B38" s="73"/>
      <c r="C38" s="74"/>
      <c r="D38" s="72"/>
      <c r="E38" s="73"/>
      <c r="F38" s="73"/>
      <c r="G38" s="73"/>
      <c r="H38" s="73"/>
      <c r="I38" s="73"/>
      <c r="J38" s="73"/>
      <c r="K38" s="73"/>
      <c r="L38" s="74"/>
      <c r="M38" s="12" t="s">
        <v>26</v>
      </c>
      <c r="N38" s="12" t="s">
        <v>27</v>
      </c>
      <c r="O38" s="43" t="s">
        <v>44</v>
      </c>
    </row>
    <row r="39" spans="1:15" ht="12.75">
      <c r="A39" s="80" t="s">
        <v>45</v>
      </c>
      <c r="B39" s="81"/>
      <c r="C39" s="82"/>
      <c r="D39" s="63" t="s">
        <v>47</v>
      </c>
      <c r="E39" s="64"/>
      <c r="F39" s="64"/>
      <c r="G39" s="64"/>
      <c r="H39" s="64"/>
      <c r="I39" s="64"/>
      <c r="J39" s="64"/>
      <c r="K39" s="64"/>
      <c r="L39" s="65"/>
      <c r="M39" s="35" t="s">
        <v>34</v>
      </c>
      <c r="N39" s="12">
        <v>0.07</v>
      </c>
      <c r="O39" s="41" t="s">
        <v>48</v>
      </c>
    </row>
    <row r="40" spans="1:15" ht="32.25" customHeight="1">
      <c r="A40" s="67"/>
      <c r="B40" s="68"/>
      <c r="C40" s="69"/>
      <c r="D40" s="75" t="s">
        <v>49</v>
      </c>
      <c r="E40" s="76"/>
      <c r="F40" s="76"/>
      <c r="G40" s="76"/>
      <c r="H40" s="76"/>
      <c r="I40" s="76"/>
      <c r="J40" s="76"/>
      <c r="K40" s="76"/>
      <c r="L40" s="77"/>
      <c r="M40" s="35" t="s">
        <v>34</v>
      </c>
      <c r="N40" s="28">
        <v>0.06</v>
      </c>
      <c r="O40" s="42"/>
    </row>
    <row r="41" spans="1:15" ht="32.25" customHeight="1">
      <c r="A41" s="83"/>
      <c r="B41" s="83"/>
      <c r="C41" s="83"/>
      <c r="D41" s="75" t="s">
        <v>50</v>
      </c>
      <c r="E41" s="76"/>
      <c r="F41" s="76"/>
      <c r="G41" s="76"/>
      <c r="H41" s="76"/>
      <c r="I41" s="76"/>
      <c r="J41" s="76"/>
      <c r="K41" s="76"/>
      <c r="L41" s="77"/>
      <c r="M41" s="35" t="s">
        <v>34</v>
      </c>
      <c r="N41" s="12">
        <v>0.01</v>
      </c>
      <c r="O41" s="41"/>
    </row>
    <row r="42" spans="1:15" ht="12.75">
      <c r="A42" s="27" t="s">
        <v>28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 t="s">
        <v>29</v>
      </c>
      <c r="O42" s="44">
        <v>8.435</v>
      </c>
    </row>
    <row r="43" spans="1:15" ht="12.75">
      <c r="A43" s="78" t="s">
        <v>40</v>
      </c>
      <c r="B43" s="78"/>
      <c r="C43" s="78"/>
      <c r="D43" s="75" t="s">
        <v>52</v>
      </c>
      <c r="E43" s="76"/>
      <c r="F43" s="76"/>
      <c r="G43" s="76"/>
      <c r="H43" s="76"/>
      <c r="I43" s="76"/>
      <c r="J43" s="76"/>
      <c r="K43" s="76"/>
      <c r="L43" s="77"/>
      <c r="M43" s="35" t="s">
        <v>34</v>
      </c>
      <c r="N43" s="12">
        <v>0.01</v>
      </c>
      <c r="O43" s="41" t="s">
        <v>51</v>
      </c>
    </row>
    <row r="44" spans="1:15" ht="12.75">
      <c r="A44" s="83"/>
      <c r="B44" s="83"/>
      <c r="C44" s="83"/>
      <c r="D44" s="84" t="s">
        <v>53</v>
      </c>
      <c r="E44" s="84"/>
      <c r="F44" s="84"/>
      <c r="G44" s="84"/>
      <c r="H44" s="84"/>
      <c r="I44" s="84"/>
      <c r="J44" s="84"/>
      <c r="K44" s="84"/>
      <c r="L44" s="84"/>
      <c r="M44" s="35" t="s">
        <v>34</v>
      </c>
      <c r="N44" s="12">
        <v>0.01</v>
      </c>
      <c r="O44" s="41"/>
    </row>
    <row r="45" spans="1:15" ht="12.75">
      <c r="A45" s="46" t="s">
        <v>28</v>
      </c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 t="s">
        <v>29</v>
      </c>
      <c r="O45" s="49">
        <v>1.125</v>
      </c>
    </row>
    <row r="46" spans="1:15" ht="25.5">
      <c r="A46" s="78" t="s">
        <v>24</v>
      </c>
      <c r="B46" s="78"/>
      <c r="C46" s="78"/>
      <c r="D46" s="75" t="s">
        <v>55</v>
      </c>
      <c r="E46" s="76"/>
      <c r="F46" s="76"/>
      <c r="G46" s="76"/>
      <c r="H46" s="76"/>
      <c r="I46" s="76"/>
      <c r="J46" s="76"/>
      <c r="K46" s="76"/>
      <c r="L46" s="77"/>
      <c r="M46" s="35" t="s">
        <v>30</v>
      </c>
      <c r="N46" s="12">
        <v>1</v>
      </c>
      <c r="O46" s="54" t="s">
        <v>54</v>
      </c>
    </row>
    <row r="47" spans="1:15" ht="12.75">
      <c r="A47" s="50" t="s">
        <v>28</v>
      </c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 t="s">
        <v>29</v>
      </c>
      <c r="O47" s="53">
        <v>1.088</v>
      </c>
    </row>
    <row r="48" spans="1:15" ht="28.5" customHeight="1">
      <c r="A48" s="78" t="s">
        <v>32</v>
      </c>
      <c r="B48" s="78"/>
      <c r="C48" s="78"/>
      <c r="D48" s="75" t="s">
        <v>41</v>
      </c>
      <c r="E48" s="76"/>
      <c r="F48" s="76"/>
      <c r="G48" s="76"/>
      <c r="H48" s="76"/>
      <c r="I48" s="76"/>
      <c r="J48" s="76"/>
      <c r="K48" s="76"/>
      <c r="L48" s="77"/>
      <c r="M48" s="35" t="s">
        <v>34</v>
      </c>
      <c r="N48" s="12">
        <v>1.1</v>
      </c>
      <c r="O48" s="54"/>
    </row>
    <row r="49" spans="1:15" ht="12.75">
      <c r="A49" s="55" t="s">
        <v>28</v>
      </c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 t="s">
        <v>29</v>
      </c>
      <c r="O49" s="58">
        <v>3.025</v>
      </c>
    </row>
    <row r="50" spans="1:15" ht="12.75">
      <c r="A50" s="78" t="s">
        <v>38</v>
      </c>
      <c r="B50" s="78"/>
      <c r="C50" s="78"/>
      <c r="D50" s="75" t="s">
        <v>56</v>
      </c>
      <c r="E50" s="76"/>
      <c r="F50" s="76"/>
      <c r="G50" s="76"/>
      <c r="H50" s="76"/>
      <c r="I50" s="76"/>
      <c r="J50" s="76"/>
      <c r="K50" s="76"/>
      <c r="L50" s="77"/>
      <c r="M50" s="35" t="s">
        <v>42</v>
      </c>
      <c r="N50" s="12">
        <v>0.15</v>
      </c>
      <c r="O50" s="54"/>
    </row>
    <row r="51" spans="1:15" ht="12.75">
      <c r="A51" s="59" t="s">
        <v>28</v>
      </c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 t="s">
        <v>29</v>
      </c>
      <c r="O51" s="62">
        <v>17.46</v>
      </c>
    </row>
    <row r="52" spans="1:15" ht="12.75">
      <c r="A52" s="78" t="s">
        <v>38</v>
      </c>
      <c r="B52" s="78"/>
      <c r="C52" s="78"/>
      <c r="D52" s="75" t="s">
        <v>57</v>
      </c>
      <c r="E52" s="76"/>
      <c r="F52" s="76"/>
      <c r="G52" s="76"/>
      <c r="H52" s="76"/>
      <c r="I52" s="76"/>
      <c r="J52" s="76"/>
      <c r="K52" s="76"/>
      <c r="L52" s="77"/>
      <c r="M52" s="35" t="s">
        <v>31</v>
      </c>
      <c r="N52" s="12">
        <v>0.01</v>
      </c>
      <c r="O52" s="54"/>
    </row>
    <row r="53" spans="1:15" ht="12.75">
      <c r="A53" s="78"/>
      <c r="B53" s="78"/>
      <c r="C53" s="78"/>
      <c r="D53" s="84" t="s">
        <v>58</v>
      </c>
      <c r="E53" s="84"/>
      <c r="F53" s="84"/>
      <c r="G53" s="84"/>
      <c r="H53" s="84"/>
      <c r="I53" s="84"/>
      <c r="J53" s="84"/>
      <c r="K53" s="84"/>
      <c r="L53" s="84"/>
      <c r="M53" s="35" t="s">
        <v>59</v>
      </c>
      <c r="N53" s="12">
        <v>1</v>
      </c>
      <c r="O53" s="54"/>
    </row>
    <row r="54" spans="1:15" ht="12.75">
      <c r="A54" s="59" t="s">
        <v>28</v>
      </c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 t="s">
        <v>29</v>
      </c>
      <c r="O54" s="62">
        <v>0.238</v>
      </c>
    </row>
  </sheetData>
  <sheetProtection/>
  <mergeCells count="28">
    <mergeCell ref="A52:C52"/>
    <mergeCell ref="D52:L52"/>
    <mergeCell ref="A53:C53"/>
    <mergeCell ref="D53:L53"/>
    <mergeCell ref="D39:L39"/>
    <mergeCell ref="D40:L40"/>
    <mergeCell ref="A43:C43"/>
    <mergeCell ref="D43:L43"/>
    <mergeCell ref="A44:C44"/>
    <mergeCell ref="D44:L44"/>
    <mergeCell ref="A38:C38"/>
    <mergeCell ref="A39:C39"/>
    <mergeCell ref="A41:C41"/>
    <mergeCell ref="D41:L41"/>
    <mergeCell ref="A40:C40"/>
    <mergeCell ref="D38:L38"/>
    <mergeCell ref="A5:O5"/>
    <mergeCell ref="D6:F6"/>
    <mergeCell ref="H6:H7"/>
    <mergeCell ref="K6:M6"/>
    <mergeCell ref="N6:N7"/>
    <mergeCell ref="A37:O37"/>
    <mergeCell ref="A50:C50"/>
    <mergeCell ref="D50:L50"/>
    <mergeCell ref="A48:C48"/>
    <mergeCell ref="D48:L48"/>
    <mergeCell ref="A46:C46"/>
    <mergeCell ref="D46:L46"/>
  </mergeCells>
  <printOptions/>
  <pageMargins left="0.75" right="0.093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2014-07-28T11:04:53Z</cp:lastPrinted>
  <dcterms:created xsi:type="dcterms:W3CDTF">2007-02-04T12:22:59Z</dcterms:created>
  <dcterms:modified xsi:type="dcterms:W3CDTF">2015-02-09T12:00:29Z</dcterms:modified>
  <cp:category/>
  <cp:version/>
  <cp:contentType/>
  <cp:contentStatus/>
</cp:coreProperties>
</file>