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2225" windowHeight="4995"/>
  </bookViews>
  <sheets>
    <sheet name="2014" sheetId="3" r:id="rId1"/>
  </sheets>
  <calcPr calcId="145621" refMode="R1C1"/>
</workbook>
</file>

<file path=xl/calcChain.xml><?xml version="1.0" encoding="utf-8"?>
<calcChain xmlns="http://schemas.openxmlformats.org/spreadsheetml/2006/main">
  <c r="K32" i="3" l="1"/>
  <c r="P31" i="3"/>
  <c r="L23" i="3"/>
  <c r="K23" i="3"/>
  <c r="J23" i="3"/>
  <c r="I23" i="3"/>
  <c r="G23" i="3"/>
  <c r="F23" i="3"/>
  <c r="E23" i="3"/>
  <c r="D23" i="3"/>
  <c r="D22" i="3" l="1"/>
  <c r="D21" i="3" l="1"/>
  <c r="P23" i="3" l="1"/>
  <c r="D20" i="3"/>
  <c r="E20" i="3"/>
  <c r="F20" i="3"/>
  <c r="G20" i="3" s="1"/>
  <c r="H20" i="3"/>
  <c r="P20" i="3"/>
  <c r="M20" i="3" l="1"/>
  <c r="N20" i="3" s="1"/>
  <c r="O20" i="3" s="1"/>
  <c r="P19" i="3" l="1"/>
  <c r="D19" i="3"/>
  <c r="E19" i="3"/>
  <c r="F19" i="3" s="1"/>
  <c r="G19" i="3" s="1"/>
  <c r="H19" i="3" l="1"/>
  <c r="M19" i="3"/>
  <c r="P18" i="3"/>
  <c r="E18" i="3"/>
  <c r="D18" i="3"/>
  <c r="N19" i="3" l="1"/>
  <c r="O19" i="3" s="1"/>
  <c r="F18" i="3"/>
  <c r="H18" i="3" s="1"/>
  <c r="E16" i="3"/>
  <c r="G18" i="3" l="1"/>
  <c r="M18" i="3"/>
  <c r="N18" i="3" l="1"/>
  <c r="O18" i="3" s="1"/>
  <c r="D17" i="3"/>
  <c r="E17" i="3"/>
  <c r="F17" i="3" s="1"/>
  <c r="G17" i="3" s="1"/>
  <c r="P17" i="3"/>
  <c r="H17" i="3" l="1"/>
  <c r="M17" i="3"/>
  <c r="D16" i="3"/>
  <c r="F16" i="3" s="1"/>
  <c r="G16" i="3" s="1"/>
  <c r="P16" i="3"/>
  <c r="N17" i="3" l="1"/>
  <c r="O17" i="3" s="1"/>
  <c r="H16" i="3"/>
  <c r="M16" i="3"/>
  <c r="D15" i="3"/>
  <c r="E15" i="3"/>
  <c r="P15" i="3"/>
  <c r="N16" i="3" l="1"/>
  <c r="O16" i="3" s="1"/>
  <c r="F15" i="3"/>
  <c r="G15" i="3" s="1"/>
  <c r="H15" i="3" l="1"/>
  <c r="M15" i="3"/>
  <c r="D14" i="3"/>
  <c r="E14" i="3"/>
  <c r="P14" i="3"/>
  <c r="N15" i="3" l="1"/>
  <c r="O15" i="3" s="1"/>
  <c r="F14" i="3"/>
  <c r="G14" i="3" s="1"/>
  <c r="M14" i="3" l="1"/>
  <c r="H14" i="3"/>
  <c r="P13" i="3"/>
  <c r="E13" i="3"/>
  <c r="D13" i="3"/>
  <c r="N14" i="3" l="1"/>
  <c r="O14" i="3" s="1"/>
  <c r="F13" i="3"/>
  <c r="H13" i="3" s="1"/>
  <c r="P12" i="3"/>
  <c r="E12" i="3"/>
  <c r="D12" i="3"/>
  <c r="G13" i="3" l="1"/>
  <c r="M13" i="3"/>
  <c r="F12" i="3"/>
  <c r="H12" i="3" s="1"/>
  <c r="N13" i="3" l="1"/>
  <c r="O13" i="3" s="1"/>
  <c r="G12" i="3"/>
  <c r="M12" i="3"/>
  <c r="P11" i="3"/>
  <c r="E11" i="3"/>
  <c r="D11" i="3"/>
  <c r="N12" i="3" l="1"/>
  <c r="O12" i="3" s="1"/>
  <c r="F11" i="3"/>
  <c r="M11" i="3" s="1"/>
  <c r="G11" i="3" l="1"/>
  <c r="H11" i="3"/>
  <c r="P10" i="3"/>
  <c r="E10" i="3"/>
  <c r="D10" i="3"/>
  <c r="N11" i="3" l="1"/>
  <c r="O11" i="3" s="1"/>
  <c r="F10" i="3"/>
  <c r="M10" i="3" s="1"/>
  <c r="E9" i="3"/>
  <c r="D9" i="3"/>
  <c r="F22" i="3"/>
  <c r="F21" i="3"/>
  <c r="G10" i="3" l="1"/>
  <c r="H10" i="3"/>
  <c r="F9" i="3"/>
  <c r="P24" i="3"/>
  <c r="P32" i="3" s="1"/>
  <c r="H21" i="3"/>
  <c r="H22" i="3"/>
  <c r="M21" i="3"/>
  <c r="M22" i="3"/>
  <c r="N10" i="3" l="1"/>
  <c r="O10" i="3" s="1"/>
  <c r="H9" i="3"/>
  <c r="H23" i="3" s="1"/>
  <c r="M9" i="3"/>
  <c r="M23" i="3" s="1"/>
  <c r="G9" i="3"/>
  <c r="N21" i="3"/>
  <c r="O21" i="3" s="1"/>
  <c r="N22" i="3"/>
  <c r="O22" i="3" l="1"/>
  <c r="N9" i="3"/>
  <c r="N23" i="3" s="1"/>
  <c r="O23" i="3" l="1"/>
  <c r="O9" i="3"/>
</calcChain>
</file>

<file path=xl/comments1.xml><?xml version="1.0" encoding="utf-8"?>
<comments xmlns="http://schemas.openxmlformats.org/spreadsheetml/2006/main">
  <authors>
    <author>User</author>
  </authors>
  <commentLis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500р-укрепления конька
500р-смена личинки</t>
        </r>
      </text>
    </comment>
    <comment ref="M2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500р-укрепление конька 
500р-смена личинки</t>
        </r>
      </text>
    </comment>
  </commentList>
</comments>
</file>

<file path=xl/sharedStrings.xml><?xml version="1.0" encoding="utf-8"?>
<sst xmlns="http://schemas.openxmlformats.org/spreadsheetml/2006/main" count="91" uniqueCount="65">
  <si>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</si>
  <si>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</si>
  <si>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</si>
  <si>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</si>
  <si>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</si>
  <si>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</si>
  <si>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</si>
  <si>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</si>
  <si>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</si>
  <si>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</si>
  <si>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</si>
  <si>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</si>
  <si>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</si>
  <si>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</si>
  <si>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</si>
  <si>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</si>
  <si>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</si>
  <si>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 xml:space="preserve">эксплуатац. </t>
  </si>
  <si>
    <t>содержание</t>
  </si>
  <si>
    <t>ремонт</t>
  </si>
  <si>
    <t>итого</t>
  </si>
  <si>
    <t>кап.рем</t>
  </si>
  <si>
    <t>Быстров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</si>
  <si>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</si>
  <si>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</si>
  <si>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</si>
  <si>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</si>
  <si>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</si>
  <si>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</si>
  <si>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</si>
  <si>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Месяц</t>
  </si>
  <si>
    <t>ед. изм.</t>
  </si>
  <si>
    <t>кол-во</t>
  </si>
  <si>
    <t>ИТОГО</t>
  </si>
  <si>
    <t>тыс.руб.</t>
  </si>
  <si>
    <t>100шт</t>
  </si>
  <si>
    <t>100м2</t>
  </si>
  <si>
    <t>август</t>
  </si>
  <si>
    <t>100м тр-да</t>
  </si>
  <si>
    <t>сентябрь</t>
  </si>
  <si>
    <t>октябрь</t>
  </si>
  <si>
    <t>ноябрь</t>
  </si>
  <si>
    <t>декабрь</t>
  </si>
  <si>
    <t>Ген. директор ООО "Георгиевск - ЖЭУ"                                                              Никишина И.М.</t>
  </si>
  <si>
    <t>аптека №21</t>
  </si>
  <si>
    <t>Гидравлическое испытание трубопроводов систем отопления, водопровода и горячего водоснабжения диаметром: до 100мм</t>
  </si>
  <si>
    <t>Место провед-я работ</t>
  </si>
  <si>
    <t>Учет доходов и расходов по Пушкина 56 на 2014 год</t>
  </si>
  <si>
    <t>Перечень выполненных работ по сметам за 2014 год по дому Пушкина 56</t>
  </si>
  <si>
    <t>кв.4</t>
  </si>
  <si>
    <t>Разборка трубопроводов из чугунных канализационных труб диаметром: 100мм</t>
  </si>
  <si>
    <t>Прокладка трубопроводов канализации из полиэтиленовых труб высокой плотности диаметром: 110мм</t>
  </si>
  <si>
    <t>Ремонт групповых щитков на лестничной клетке без ремонта автоматов</t>
  </si>
  <si>
    <t>Смена стекол толщиной 4-6 мм в деревянных переплетах на штапиках: по замазке при площади стекол до 1,0м2</t>
  </si>
  <si>
    <t>укрепление конька</t>
  </si>
  <si>
    <t>ИТОГО:</t>
  </si>
  <si>
    <t>Прокладка трубопроводов</t>
  </si>
  <si>
    <t>Ремонт групповых щитков</t>
  </si>
  <si>
    <t>Смена стекол</t>
  </si>
  <si>
    <t>Гидравлическое испытание</t>
  </si>
  <si>
    <t>Установка блоков в наружных и внутренних дверных проемах: в каменных стенах, площадь проема до 3м2</t>
  </si>
  <si>
    <t>500р</t>
  </si>
  <si>
    <t xml:space="preserve">смена личинки </t>
  </si>
  <si>
    <t>ИТОГО за 2014год:</t>
  </si>
  <si>
    <t>Установка блоков дверн.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</si>
</sst>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2" fontId="2" fillId="0" borderId="2" xfId="0" applyNumberFormat="1" applyFont="1" applyBorder="1" applyAlignment="1"/>
    <xf numFmtId="0" fontId="2" fillId="0" borderId="4" xfId="0" applyFont="1" applyBorder="1"/>
    <xf numFmtId="1" fontId="2" fillId="0" borderId="4" xfId="0" applyNumberFormat="1" applyFont="1" applyBorder="1"/>
    <xf numFmtId="2" fontId="2" fillId="0" borderId="5" xfId="0" applyNumberFormat="1" applyFont="1" applyBorder="1"/>
    <xf numFmtId="2" fontId="2" fillId="0" borderId="4" xfId="0" applyNumberFormat="1" applyFont="1" applyBorder="1"/>
    <xf numFmtId="2" fontId="2" fillId="0" borderId="6" xfId="0" applyNumberFormat="1" applyFont="1" applyBorder="1"/>
    <xf numFmtId="0" fontId="2" fillId="0" borderId="5" xfId="0" applyFont="1" applyBorder="1"/>
    <xf numFmtId="1" fontId="2" fillId="0" borderId="5" xfId="0" applyNumberFormat="1" applyFont="1" applyBorder="1"/>
    <xf numFmtId="164" fontId="2" fillId="2" borderId="5" xfId="0" applyNumberFormat="1" applyFont="1" applyFill="1" applyBorder="1" applyAlignment="1"/>
    <xf numFmtId="164" fontId="2" fillId="3" borderId="5" xfId="0" applyNumberFormat="1" applyFont="1" applyFill="1" applyBorder="1" applyAlignment="1"/>
    <xf numFmtId="164" fontId="2" fillId="3" borderId="5" xfId="0" applyNumberFormat="1" applyFont="1" applyFill="1" applyBorder="1"/>
    <xf numFmtId="4" fontId="2" fillId="0" borderId="5" xfId="0" applyNumberFormat="1" applyFont="1" applyBorder="1"/>
    <xf numFmtId="0" fontId="2" fillId="4" borderId="5" xfId="0" applyFont="1" applyFill="1" applyBorder="1"/>
    <xf numFmtId="0" fontId="0" fillId="0" borderId="5" xfId="0" applyBorder="1"/>
    <xf numFmtId="0" fontId="2" fillId="5" borderId="5" xfId="0" applyFont="1" applyFill="1" applyBorder="1"/>
    <xf numFmtId="2" fontId="2" fillId="0" borderId="2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164" fontId="2" fillId="2" borderId="6" xfId="0" applyNumberFormat="1" applyFont="1" applyFill="1" applyBorder="1" applyAlignment="1"/>
    <xf numFmtId="0" fontId="2" fillId="0" borderId="10" xfId="0" applyFont="1" applyBorder="1"/>
    <xf numFmtId="0" fontId="2" fillId="0" borderId="11" xfId="0" applyFont="1" applyBorder="1"/>
    <xf numFmtId="2" fontId="2" fillId="0" borderId="5" xfId="0" applyNumberFormat="1" applyFont="1" applyFill="1" applyBorder="1"/>
    <xf numFmtId="0" fontId="2" fillId="0" borderId="12" xfId="0" applyFont="1" applyBorder="1"/>
    <xf numFmtId="2" fontId="6" fillId="4" borderId="13" xfId="0" applyNumberFormat="1" applyFont="1" applyFill="1" applyBorder="1" applyAlignment="1"/>
    <xf numFmtId="165" fontId="0" fillId="0" borderId="0" xfId="0" applyNumberFormat="1"/>
    <xf numFmtId="2" fontId="6" fillId="0" borderId="5" xfId="0" applyNumberFormat="1" applyFont="1" applyBorder="1"/>
    <xf numFmtId="0" fontId="0" fillId="5" borderId="5" xfId="0" applyFill="1" applyBorder="1"/>
    <xf numFmtId="0" fontId="1" fillId="0" borderId="0" xfId="0" applyFont="1" applyBorder="1" applyAlignment="1">
      <alignment horizontal="center"/>
    </xf>
    <xf numFmtId="164" fontId="2" fillId="5" borderId="5" xfId="0" applyNumberFormat="1" applyFont="1" applyFill="1" applyBorder="1"/>
    <xf numFmtId="2" fontId="2" fillId="5" borderId="5" xfId="0" applyNumberFormat="1" applyFont="1" applyFill="1" applyBorder="1"/>
    <xf numFmtId="0" fontId="2" fillId="6" borderId="5" xfId="0" applyFont="1" applyFill="1" applyBorder="1"/>
    <xf numFmtId="0" fontId="6" fillId="4" borderId="0" xfId="0" applyFont="1" applyFill="1"/>
    <xf numFmtId="2" fontId="2" fillId="0" borderId="6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2" fontId="0" fillId="0" borderId="7" xfId="0" applyNumberFormat="1" applyBorder="1" applyAlignment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165" fontId="6" fillId="4" borderId="7" xfId="0" applyNumberFormat="1" applyFont="1" applyFill="1" applyBorder="1" applyAlignment="1"/>
    <xf numFmtId="2" fontId="6" fillId="8" borderId="13" xfId="0" applyNumberFormat="1" applyFont="1" applyFill="1" applyBorder="1" applyAlignment="1"/>
    <xf numFmtId="165" fontId="6" fillId="8" borderId="7" xfId="0" applyNumberFormat="1" applyFont="1" applyFill="1" applyBorder="1" applyAlignment="1"/>
    <xf numFmtId="2" fontId="6" fillId="9" borderId="13" xfId="0" applyNumberFormat="1" applyFont="1" applyFill="1" applyBorder="1" applyAlignment="1"/>
    <xf numFmtId="165" fontId="6" fillId="9" borderId="7" xfId="0" applyNumberFormat="1" applyFont="1" applyFill="1" applyBorder="1" applyAlignment="1"/>
    <xf numFmtId="0" fontId="6" fillId="10" borderId="0" xfId="0" applyFont="1" applyFill="1"/>
    <xf numFmtId="164" fontId="0" fillId="0" borderId="0" xfId="0" applyNumberFormat="1" applyFont="1" applyFill="1" applyBorder="1"/>
    <xf numFmtId="0" fontId="6" fillId="0" borderId="0" xfId="0" applyFont="1"/>
    <xf numFmtId="0" fontId="7" fillId="0" borderId="0" xfId="0" applyFont="1" applyFill="1"/>
    <xf numFmtId="2" fontId="6" fillId="11" borderId="13" xfId="0" applyNumberFormat="1" applyFont="1" applyFill="1" applyBorder="1" applyAlignment="1"/>
    <xf numFmtId="165" fontId="6" fillId="11" borderId="7" xfId="0" applyNumberFormat="1" applyFont="1" applyFill="1" applyBorder="1" applyAlignment="1"/>
    <xf numFmtId="164" fontId="0" fillId="0" borderId="0" xfId="0" applyNumberFormat="1"/>
    <xf numFmtId="0" fontId="6" fillId="0" borderId="0" xfId="0" applyFont="1" applyFill="1"/>
    <xf numFmtId="0" fontId="2" fillId="5" borderId="0" xfId="0" applyFont="1" applyFill="1" applyBorder="1"/>
    <xf numFmtId="2" fontId="6" fillId="0" borderId="0" xfId="0" applyNumberFormat="1" applyFont="1"/>
    <xf numFmtId="0" fontId="5" fillId="2" borderId="0" xfId="0" applyFont="1" applyFill="1" applyAlignment="1">
      <alignment horizontal="center"/>
    </xf>
    <xf numFmtId="2" fontId="0" fillId="0" borderId="2" xfId="0" applyNumberFormat="1" applyBorder="1" applyAlignment="1">
      <alignment horizontal="left" wrapText="1"/>
    </xf>
    <xf numFmtId="2" fontId="0" fillId="0" borderId="13" xfId="0" applyNumberFormat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11" borderId="2" xfId="0" applyNumberFormat="1" applyFont="1" applyFill="1" applyBorder="1" applyAlignment="1">
      <alignment horizontal="center"/>
    </xf>
    <xf numFmtId="0" fontId="6" fillId="11" borderId="13" xfId="0" applyNumberFormat="1" applyFont="1" applyFill="1" applyBorder="1" applyAlignment="1">
      <alignment horizontal="center"/>
    </xf>
    <xf numFmtId="0" fontId="6" fillId="9" borderId="2" xfId="0" applyNumberFormat="1" applyFont="1" applyFill="1" applyBorder="1" applyAlignment="1">
      <alignment horizontal="center"/>
    </xf>
    <xf numFmtId="0" fontId="6" fillId="9" borderId="13" xfId="0" applyNumberFormat="1" applyFont="1" applyFill="1" applyBorder="1" applyAlignment="1">
      <alignment horizontal="center"/>
    </xf>
    <xf numFmtId="0" fontId="6" fillId="8" borderId="2" xfId="0" applyNumberFormat="1" applyFont="1" applyFill="1" applyBorder="1" applyAlignment="1">
      <alignment horizontal="center"/>
    </xf>
    <xf numFmtId="0" fontId="6" fillId="8" borderId="13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6" fillId="4" borderId="2" xfId="0" applyNumberFormat="1" applyFont="1" applyFill="1" applyBorder="1" applyAlignment="1">
      <alignment horizontal="center"/>
    </xf>
    <xf numFmtId="0" fontId="6" fillId="4" borderId="13" xfId="0" applyNumberFormat="1" applyFont="1" applyFill="1" applyBorder="1" applyAlignment="1">
      <alignment horizontal="center"/>
    </xf>
    <xf numFmtId="2" fontId="6" fillId="7" borderId="0" xfId="0" applyNumberFormat="1" applyFont="1" applyFill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4:P54"/>
  <sheetViews>
    <sheetView tabSelected="1" workbookViewId="0">
      <selection activeCell="L11" sqref="L11"/>
    </sheetView>
  </sheetViews>
  <sheetFormatPr defaultRowHeight="12.75" x14ac:dyDescent="0.2"/>
  <cols>
    <col min="1" max="1" width="6.7109375" customWidth="1"/>
    <col min="2" max="2" width="1.28515625" customWidth="1"/>
    <col min="3" max="3" width="2.42578125" customWidth="1"/>
    <col min="10" max="10" width="9.7109375" bestFit="1" customWidth="1"/>
    <col min="11" max="11" width="10.140625" bestFit="1" customWidth="1"/>
    <col min="15" max="15" width="10.5703125" customWidth="1"/>
  </cols>
  <sheetData>
    <row r="4" spans="1:16" x14ac:dyDescent="0.2">
      <c r="B4" s="3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3.5" thickBot="1" x14ac:dyDescent="0.25">
      <c r="A5" s="62" t="s">
        <v>47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x14ac:dyDescent="0.2">
      <c r="A6" s="4"/>
      <c r="B6" s="5" t="s">
        <v>8</v>
      </c>
      <c r="C6" s="6" t="s">
        <v>9</v>
      </c>
      <c r="D6" s="71" t="s">
        <v>1</v>
      </c>
      <c r="E6" s="72"/>
      <c r="F6" s="73"/>
      <c r="G6" s="7" t="s">
        <v>2</v>
      </c>
      <c r="H6" s="66" t="s">
        <v>4</v>
      </c>
      <c r="I6" s="7" t="s">
        <v>5</v>
      </c>
      <c r="J6" s="8" t="s">
        <v>6</v>
      </c>
      <c r="K6" s="68" t="s">
        <v>14</v>
      </c>
      <c r="L6" s="69"/>
      <c r="M6" s="70"/>
      <c r="N6" s="66" t="s">
        <v>13</v>
      </c>
      <c r="O6" s="29" t="s">
        <v>0</v>
      </c>
      <c r="P6" s="27"/>
    </row>
    <row r="7" spans="1:16" ht="13.5" thickBot="1" x14ac:dyDescent="0.25">
      <c r="A7" s="4"/>
      <c r="B7" s="9"/>
      <c r="C7" s="10" t="s">
        <v>11</v>
      </c>
      <c r="D7" s="11" t="s">
        <v>18</v>
      </c>
      <c r="E7" s="11" t="s">
        <v>19</v>
      </c>
      <c r="F7" s="7" t="s">
        <v>20</v>
      </c>
      <c r="G7" s="12" t="s">
        <v>3</v>
      </c>
      <c r="H7" s="67"/>
      <c r="I7" s="12" t="s">
        <v>10</v>
      </c>
      <c r="J7" s="7" t="s">
        <v>7</v>
      </c>
      <c r="K7" s="13" t="s">
        <v>15</v>
      </c>
      <c r="L7" s="12" t="s">
        <v>16</v>
      </c>
      <c r="M7" s="12" t="s">
        <v>17</v>
      </c>
      <c r="N7" s="67"/>
      <c r="O7" s="14" t="s">
        <v>12</v>
      </c>
      <c r="P7" s="28" t="s">
        <v>21</v>
      </c>
    </row>
    <row r="8" spans="1:16" ht="13.5" thickBot="1" x14ac:dyDescent="0.25">
      <c r="A8" s="4"/>
      <c r="B8" s="9"/>
      <c r="C8" s="10"/>
      <c r="D8" s="11"/>
      <c r="E8" s="23"/>
      <c r="F8" s="25">
        <v>-188230.96</v>
      </c>
      <c r="G8" s="24"/>
      <c r="H8" s="40"/>
      <c r="I8" s="12"/>
      <c r="J8" s="7"/>
      <c r="K8" s="13"/>
      <c r="L8" s="12"/>
      <c r="M8" s="12"/>
      <c r="N8" s="40"/>
      <c r="O8" s="14"/>
      <c r="P8" s="30">
        <v>46417.01</v>
      </c>
    </row>
    <row r="9" spans="1:16" x14ac:dyDescent="0.2">
      <c r="A9" s="20" t="s">
        <v>23</v>
      </c>
      <c r="B9" s="14"/>
      <c r="C9" s="15"/>
      <c r="D9" s="16">
        <f>2064.43+412.75+521.95</f>
        <v>2999.13</v>
      </c>
      <c r="E9" s="16">
        <f>952.8+254.25+240.9</f>
        <v>1447.95</v>
      </c>
      <c r="F9" s="26">
        <f t="shared" ref="F9:F22" si="0">SUM(D9:E9)</f>
        <v>4447.08</v>
      </c>
      <c r="G9" s="17">
        <f t="shared" ref="G9:G20" si="1">SUM((F9*0.03))</f>
        <v>133.41239999999999</v>
      </c>
      <c r="H9" s="17">
        <f t="shared" ref="H9:H22" si="2">SUM((F9*0.06))</f>
        <v>266.82479999999998</v>
      </c>
      <c r="I9" s="18">
        <v>2855.6</v>
      </c>
      <c r="J9" s="18">
        <v>0</v>
      </c>
      <c r="K9" s="18">
        <v>1230.01</v>
      </c>
      <c r="L9" s="18">
        <v>0</v>
      </c>
      <c r="M9" s="18">
        <f t="shared" ref="M9:M22" si="3">SUM(F9*0.15)</f>
        <v>667.06200000000001</v>
      </c>
      <c r="N9" s="18">
        <f t="shared" ref="N9:N22" si="4">SUM(G9:M9)</f>
        <v>5152.9092000000001</v>
      </c>
      <c r="O9" s="19">
        <f t="shared" ref="O9:O22" si="5">F9-N9</f>
        <v>-705.82920000000013</v>
      </c>
      <c r="P9" s="22">
        <v>317.38</v>
      </c>
    </row>
    <row r="10" spans="1:16" x14ac:dyDescent="0.2">
      <c r="A10" s="20" t="s">
        <v>24</v>
      </c>
      <c r="B10" s="14"/>
      <c r="C10" s="15"/>
      <c r="D10" s="16">
        <f>2205.52+850.85+1220.05</f>
        <v>4276.42</v>
      </c>
      <c r="E10" s="16">
        <f>1017.9+392.7+563.1</f>
        <v>1973.6999999999998</v>
      </c>
      <c r="F10" s="26">
        <f t="shared" si="0"/>
        <v>6250.12</v>
      </c>
      <c r="G10" s="17">
        <f t="shared" si="1"/>
        <v>187.50359999999998</v>
      </c>
      <c r="H10" s="17">
        <f t="shared" si="2"/>
        <v>375.00719999999995</v>
      </c>
      <c r="I10" s="18">
        <v>2855.6</v>
      </c>
      <c r="J10" s="18">
        <v>0</v>
      </c>
      <c r="K10" s="18">
        <v>1230.01</v>
      </c>
      <c r="L10" s="18">
        <v>0</v>
      </c>
      <c r="M10" s="18">
        <f t="shared" si="3"/>
        <v>937.51799999999992</v>
      </c>
      <c r="N10" s="18">
        <f t="shared" si="4"/>
        <v>5585.6387999999997</v>
      </c>
      <c r="O10" s="19">
        <f t="shared" si="5"/>
        <v>664.48120000000017</v>
      </c>
      <c r="P10" s="22">
        <f>339.3+50.6+187.7</f>
        <v>577.6</v>
      </c>
    </row>
    <row r="11" spans="1:16" x14ac:dyDescent="0.2">
      <c r="A11" s="20" t="s">
        <v>25</v>
      </c>
      <c r="B11" s="14"/>
      <c r="C11" s="15"/>
      <c r="D11" s="16">
        <f>1715.37+1972.75</f>
        <v>3688.12</v>
      </c>
      <c r="E11" s="16">
        <f>791.7+910.5</f>
        <v>1702.2</v>
      </c>
      <c r="F11" s="26">
        <f t="shared" si="0"/>
        <v>5390.32</v>
      </c>
      <c r="G11" s="17">
        <f t="shared" si="1"/>
        <v>161.70959999999999</v>
      </c>
      <c r="H11" s="17">
        <f t="shared" si="2"/>
        <v>323.41919999999999</v>
      </c>
      <c r="I11" s="18">
        <v>2855.6</v>
      </c>
      <c r="J11" s="18">
        <v>0</v>
      </c>
      <c r="K11" s="18">
        <v>1230.01</v>
      </c>
      <c r="L11" s="18">
        <v>0</v>
      </c>
      <c r="M11" s="18">
        <f t="shared" si="3"/>
        <v>808.54799999999989</v>
      </c>
      <c r="N11" s="18">
        <f t="shared" si="4"/>
        <v>5379.2867999999999</v>
      </c>
      <c r="O11" s="19">
        <f t="shared" si="5"/>
        <v>11.033199999999852</v>
      </c>
      <c r="P11" s="22">
        <f>264.42+303.5</f>
        <v>567.92000000000007</v>
      </c>
    </row>
    <row r="12" spans="1:16" x14ac:dyDescent="0.2">
      <c r="A12" s="20" t="s">
        <v>26</v>
      </c>
      <c r="B12" s="14"/>
      <c r="C12" s="15"/>
      <c r="D12" s="16">
        <f>340.6+2211.25+2284.76+1865.5</f>
        <v>6702.1100000000006</v>
      </c>
      <c r="E12" s="16">
        <f>157.2+380.75+1054.5+861</f>
        <v>2453.4499999999998</v>
      </c>
      <c r="F12" s="26">
        <f t="shared" si="0"/>
        <v>9155.5600000000013</v>
      </c>
      <c r="G12" s="17">
        <f t="shared" si="1"/>
        <v>274.66680000000002</v>
      </c>
      <c r="H12" s="17">
        <f t="shared" si="2"/>
        <v>549.33360000000005</v>
      </c>
      <c r="I12" s="18">
        <v>2855.6</v>
      </c>
      <c r="J12" s="18">
        <v>0</v>
      </c>
      <c r="K12" s="18">
        <v>1230.01</v>
      </c>
      <c r="L12" s="18">
        <v>0</v>
      </c>
      <c r="M12" s="18">
        <f t="shared" si="3"/>
        <v>1373.3340000000001</v>
      </c>
      <c r="N12" s="18">
        <f t="shared" si="4"/>
        <v>6282.9444000000003</v>
      </c>
      <c r="O12" s="19">
        <f t="shared" si="5"/>
        <v>2872.615600000001</v>
      </c>
      <c r="P12" s="22">
        <f>52.4+350.98+287</f>
        <v>690.38</v>
      </c>
    </row>
    <row r="13" spans="1:16" x14ac:dyDescent="0.2">
      <c r="A13" s="20" t="s">
        <v>27</v>
      </c>
      <c r="B13" s="14"/>
      <c r="C13" s="15"/>
      <c r="D13" s="16">
        <f>340.6+1465.76+1449.56</f>
        <v>3255.92</v>
      </c>
      <c r="E13" s="16">
        <f>157.2+676.5+1799.4</f>
        <v>2633.1000000000004</v>
      </c>
      <c r="F13" s="26">
        <f t="shared" si="0"/>
        <v>5889.02</v>
      </c>
      <c r="G13" s="17">
        <f t="shared" si="1"/>
        <v>176.67060000000001</v>
      </c>
      <c r="H13" s="17">
        <f t="shared" si="2"/>
        <v>353.34120000000001</v>
      </c>
      <c r="I13" s="18">
        <v>2855.6</v>
      </c>
      <c r="J13" s="18">
        <v>0</v>
      </c>
      <c r="K13" s="18">
        <v>1230.01</v>
      </c>
      <c r="L13" s="18">
        <v>0</v>
      </c>
      <c r="M13" s="18">
        <f t="shared" si="3"/>
        <v>883.35300000000007</v>
      </c>
      <c r="N13" s="18">
        <f t="shared" si="4"/>
        <v>5498.9748</v>
      </c>
      <c r="O13" s="19">
        <f t="shared" si="5"/>
        <v>390.04520000000048</v>
      </c>
      <c r="P13" s="22">
        <f>52.4+225.5+599.8</f>
        <v>877.69999999999993</v>
      </c>
    </row>
    <row r="14" spans="1:16" x14ac:dyDescent="0.2">
      <c r="A14" s="20" t="s">
        <v>28</v>
      </c>
      <c r="B14" s="14"/>
      <c r="C14" s="15"/>
      <c r="D14" s="16">
        <f>340.6+761.16+4912.07</f>
        <v>6013.83</v>
      </c>
      <c r="E14" s="16">
        <f>157.2+351.3+1136.7</f>
        <v>1645.2</v>
      </c>
      <c r="F14" s="26">
        <f t="shared" si="0"/>
        <v>7659.03</v>
      </c>
      <c r="G14" s="17">
        <f t="shared" si="1"/>
        <v>229.77089999999998</v>
      </c>
      <c r="H14" s="17">
        <f t="shared" si="2"/>
        <v>459.54179999999997</v>
      </c>
      <c r="I14" s="18">
        <v>2855.6</v>
      </c>
      <c r="J14" s="18">
        <v>0</v>
      </c>
      <c r="K14" s="18">
        <v>1230.01</v>
      </c>
      <c r="L14" s="18">
        <v>0</v>
      </c>
      <c r="M14" s="18">
        <f t="shared" si="3"/>
        <v>1148.8544999999999</v>
      </c>
      <c r="N14" s="18">
        <f t="shared" si="4"/>
        <v>5923.7772000000004</v>
      </c>
      <c r="O14" s="19">
        <f t="shared" si="5"/>
        <v>1735.2527999999993</v>
      </c>
      <c r="P14" s="22">
        <f>52.4+117.1+378.9</f>
        <v>548.4</v>
      </c>
    </row>
    <row r="15" spans="1:16" x14ac:dyDescent="0.2">
      <c r="A15" s="20" t="s">
        <v>29</v>
      </c>
      <c r="B15" s="14"/>
      <c r="C15" s="15"/>
      <c r="D15" s="16">
        <f>772.86+448.9+2356.92</f>
        <v>3578.6800000000003</v>
      </c>
      <c r="E15" s="16">
        <f>356.7+343.8+1087.8</f>
        <v>1788.3</v>
      </c>
      <c r="F15" s="26">
        <f t="shared" si="0"/>
        <v>5366.9800000000005</v>
      </c>
      <c r="G15" s="17">
        <f t="shared" si="1"/>
        <v>161.0094</v>
      </c>
      <c r="H15" s="17">
        <f t="shared" si="2"/>
        <v>322.0188</v>
      </c>
      <c r="I15" s="18">
        <v>2855.6</v>
      </c>
      <c r="J15" s="18">
        <v>0</v>
      </c>
      <c r="K15" s="18">
        <v>1230.01</v>
      </c>
      <c r="L15" s="18">
        <v>0</v>
      </c>
      <c r="M15" s="18">
        <f t="shared" si="3"/>
        <v>805.04700000000003</v>
      </c>
      <c r="N15" s="18">
        <f t="shared" si="4"/>
        <v>5373.6851999999999</v>
      </c>
      <c r="O15" s="19">
        <f t="shared" si="5"/>
        <v>-6.7051999999994223</v>
      </c>
      <c r="P15" s="22">
        <f>118.9+114.6+167.8</f>
        <v>401.3</v>
      </c>
    </row>
    <row r="16" spans="1:16" x14ac:dyDescent="0.2">
      <c r="A16" s="20" t="s">
        <v>37</v>
      </c>
      <c r="B16" s="14"/>
      <c r="C16" s="15"/>
      <c r="D16" s="16">
        <f>1101.76+4216.57</f>
        <v>5318.33</v>
      </c>
      <c r="E16" s="16">
        <f>508.5+1946.1</f>
        <v>2454.6</v>
      </c>
      <c r="F16" s="26">
        <f t="shared" si="0"/>
        <v>7772.93</v>
      </c>
      <c r="G16" s="17">
        <f t="shared" si="1"/>
        <v>233.18790000000001</v>
      </c>
      <c r="H16" s="17">
        <f t="shared" si="2"/>
        <v>466.37580000000003</v>
      </c>
      <c r="I16" s="18">
        <v>2855.6</v>
      </c>
      <c r="J16" s="18">
        <v>0</v>
      </c>
      <c r="K16" s="18">
        <v>1230.01</v>
      </c>
      <c r="L16" s="18">
        <v>0</v>
      </c>
      <c r="M16" s="18">
        <f t="shared" si="3"/>
        <v>1165.9395</v>
      </c>
      <c r="N16" s="18">
        <f t="shared" si="4"/>
        <v>5951.1131999999998</v>
      </c>
      <c r="O16" s="19">
        <f t="shared" si="5"/>
        <v>1821.8168000000005</v>
      </c>
      <c r="P16" s="22">
        <f>169.5+648.7</f>
        <v>818.2</v>
      </c>
    </row>
    <row r="17" spans="1:16" x14ac:dyDescent="0.2">
      <c r="A17" s="20" t="s">
        <v>39</v>
      </c>
      <c r="B17" s="14"/>
      <c r="C17" s="15"/>
      <c r="D17" s="16">
        <f>1358.5+2618.85</f>
        <v>3977.35</v>
      </c>
      <c r="E17" s="16">
        <f>627+1208.7</f>
        <v>1835.7</v>
      </c>
      <c r="F17" s="26">
        <f t="shared" si="0"/>
        <v>5813.05</v>
      </c>
      <c r="G17" s="17">
        <f t="shared" si="1"/>
        <v>174.39150000000001</v>
      </c>
      <c r="H17" s="17">
        <f t="shared" si="2"/>
        <v>348.78300000000002</v>
      </c>
      <c r="I17" s="18">
        <v>2855.6</v>
      </c>
      <c r="J17" s="18">
        <v>0</v>
      </c>
      <c r="K17" s="18">
        <v>1230.01</v>
      </c>
      <c r="L17" s="18">
        <v>0</v>
      </c>
      <c r="M17" s="18">
        <f t="shared" si="3"/>
        <v>871.95749999999998</v>
      </c>
      <c r="N17" s="18">
        <f t="shared" si="4"/>
        <v>5480.7420000000002</v>
      </c>
      <c r="O17" s="19">
        <f t="shared" si="5"/>
        <v>332.30799999999999</v>
      </c>
      <c r="P17" s="22">
        <f>209+402.9</f>
        <v>611.9</v>
      </c>
    </row>
    <row r="18" spans="1:16" x14ac:dyDescent="0.2">
      <c r="A18" s="20" t="s">
        <v>40</v>
      </c>
      <c r="B18" s="14"/>
      <c r="C18" s="15"/>
      <c r="D18" s="16">
        <f>1667.25+3027.05</f>
        <v>4694.3</v>
      </c>
      <c r="E18" s="16">
        <f>769.5+1397.1</f>
        <v>2166.6</v>
      </c>
      <c r="F18" s="26">
        <f t="shared" si="0"/>
        <v>6860.9</v>
      </c>
      <c r="G18" s="17">
        <f t="shared" si="1"/>
        <v>205.82699999999997</v>
      </c>
      <c r="H18" s="17">
        <f t="shared" si="2"/>
        <v>411.65399999999994</v>
      </c>
      <c r="I18" s="18">
        <v>2855.6</v>
      </c>
      <c r="J18" s="18">
        <v>0</v>
      </c>
      <c r="K18" s="18">
        <v>1230.01</v>
      </c>
      <c r="L18" s="18">
        <v>0</v>
      </c>
      <c r="M18" s="18">
        <f t="shared" si="3"/>
        <v>1029.135</v>
      </c>
      <c r="N18" s="18">
        <f t="shared" si="4"/>
        <v>5732.2259999999997</v>
      </c>
      <c r="O18" s="19">
        <f t="shared" si="5"/>
        <v>1128.674</v>
      </c>
      <c r="P18" s="22">
        <f>256.5+495.7</f>
        <v>752.2</v>
      </c>
    </row>
    <row r="19" spans="1:16" x14ac:dyDescent="0.2">
      <c r="A19" s="20" t="s">
        <v>41</v>
      </c>
      <c r="B19" s="14"/>
      <c r="C19" s="15"/>
      <c r="D19" s="16">
        <f>1345.75+2618.85</f>
        <v>3964.6</v>
      </c>
      <c r="E19" s="16">
        <f>484.5+1208.7</f>
        <v>1693.2</v>
      </c>
      <c r="F19" s="26">
        <f t="shared" si="0"/>
        <v>5657.8</v>
      </c>
      <c r="G19" s="17">
        <f t="shared" si="1"/>
        <v>169.73400000000001</v>
      </c>
      <c r="H19" s="17">
        <f t="shared" si="2"/>
        <v>339.46800000000002</v>
      </c>
      <c r="I19" s="18">
        <v>2855.6</v>
      </c>
      <c r="J19" s="18">
        <v>0</v>
      </c>
      <c r="K19" s="18">
        <v>1230.01</v>
      </c>
      <c r="L19" s="18">
        <v>0</v>
      </c>
      <c r="M19" s="18">
        <f t="shared" si="3"/>
        <v>848.67</v>
      </c>
      <c r="N19" s="18">
        <f t="shared" si="4"/>
        <v>5443.482</v>
      </c>
      <c r="O19" s="19">
        <f t="shared" si="5"/>
        <v>214.31800000000021</v>
      </c>
      <c r="P19" s="22">
        <f>95+402.9</f>
        <v>497.9</v>
      </c>
    </row>
    <row r="20" spans="1:16" x14ac:dyDescent="0.2">
      <c r="A20" s="20" t="s">
        <v>42</v>
      </c>
      <c r="B20" s="14"/>
      <c r="C20" s="15"/>
      <c r="D20" s="16">
        <f>1358.5+3140.8</f>
        <v>4499.3</v>
      </c>
      <c r="E20" s="16">
        <f>627+1449.6</f>
        <v>2076.6</v>
      </c>
      <c r="F20" s="26">
        <f t="shared" si="0"/>
        <v>6575.9</v>
      </c>
      <c r="G20" s="17">
        <f t="shared" si="1"/>
        <v>197.27699999999999</v>
      </c>
      <c r="H20" s="17">
        <f t="shared" si="2"/>
        <v>394.55399999999997</v>
      </c>
      <c r="I20" s="18">
        <v>2855.6</v>
      </c>
      <c r="J20" s="18">
        <v>0</v>
      </c>
      <c r="K20" s="18">
        <v>1230.01</v>
      </c>
      <c r="L20" s="18">
        <v>0</v>
      </c>
      <c r="M20" s="18">
        <f t="shared" si="3"/>
        <v>986.38499999999988</v>
      </c>
      <c r="N20" s="18">
        <f t="shared" si="4"/>
        <v>5663.826</v>
      </c>
      <c r="O20" s="19">
        <f t="shared" si="5"/>
        <v>912.07399999999961</v>
      </c>
      <c r="P20" s="22">
        <f>206.8</f>
        <v>206.8</v>
      </c>
    </row>
    <row r="21" spans="1:16" x14ac:dyDescent="0.2">
      <c r="A21" s="38" t="s">
        <v>44</v>
      </c>
      <c r="B21" s="14"/>
      <c r="C21" s="15"/>
      <c r="D21" s="16">
        <f>6000+6000+3000+6400</f>
        <v>21400</v>
      </c>
      <c r="E21" s="16">
        <v>0</v>
      </c>
      <c r="F21" s="26">
        <f t="shared" si="0"/>
        <v>21400</v>
      </c>
      <c r="G21" s="17">
        <v>0</v>
      </c>
      <c r="H21" s="17">
        <f t="shared" si="2"/>
        <v>1284</v>
      </c>
      <c r="I21" s="18">
        <v>0</v>
      </c>
      <c r="J21" s="18">
        <v>0</v>
      </c>
      <c r="K21" s="18">
        <v>0</v>
      </c>
      <c r="L21" s="18">
        <v>0</v>
      </c>
      <c r="M21" s="18">
        <f t="shared" si="3"/>
        <v>3210</v>
      </c>
      <c r="N21" s="18">
        <f t="shared" si="4"/>
        <v>4494</v>
      </c>
      <c r="O21" s="19">
        <f t="shared" si="5"/>
        <v>16906</v>
      </c>
      <c r="P21" s="22">
        <v>0</v>
      </c>
    </row>
    <row r="22" spans="1:16" x14ac:dyDescent="0.2">
      <c r="A22" s="38" t="s">
        <v>22</v>
      </c>
      <c r="B22" s="14"/>
      <c r="C22" s="15"/>
      <c r="D22" s="16">
        <f>1380+1380+1380+1375.2</f>
        <v>5515.2</v>
      </c>
      <c r="E22" s="16">
        <v>0</v>
      </c>
      <c r="F22" s="26">
        <f t="shared" si="0"/>
        <v>5515.2</v>
      </c>
      <c r="G22" s="17">
        <v>0</v>
      </c>
      <c r="H22" s="17">
        <f t="shared" si="2"/>
        <v>330.91199999999998</v>
      </c>
      <c r="I22" s="18">
        <v>0</v>
      </c>
      <c r="J22" s="18">
        <v>0</v>
      </c>
      <c r="K22" s="18">
        <v>0</v>
      </c>
      <c r="L22" s="18">
        <v>0</v>
      </c>
      <c r="M22" s="18">
        <f t="shared" si="3"/>
        <v>827.28</v>
      </c>
      <c r="N22" s="18">
        <f t="shared" si="4"/>
        <v>1158.192</v>
      </c>
      <c r="O22" s="19">
        <f t="shared" si="5"/>
        <v>4357.0079999999998</v>
      </c>
      <c r="P22" s="22">
        <v>0</v>
      </c>
    </row>
    <row r="23" spans="1:16" x14ac:dyDescent="0.2">
      <c r="A23" s="34" t="s">
        <v>20</v>
      </c>
      <c r="B23" s="34"/>
      <c r="C23" s="34"/>
      <c r="D23" s="36">
        <f>SUM(D9:D22)</f>
        <v>79883.289999999994</v>
      </c>
      <c r="E23" s="36">
        <f>SUM(E9:E22)</f>
        <v>23870.6</v>
      </c>
      <c r="F23" s="37">
        <f>SUM(F8:F22)</f>
        <v>-84477.070000000022</v>
      </c>
      <c r="G23" s="36">
        <f t="shared" ref="G23:N23" si="6">SUM(G9:G22)</f>
        <v>2305.1606999999999</v>
      </c>
      <c r="H23" s="36">
        <f t="shared" si="6"/>
        <v>6225.2334000000001</v>
      </c>
      <c r="I23" s="36">
        <f t="shared" si="6"/>
        <v>34267.19999999999</v>
      </c>
      <c r="J23" s="36">
        <f t="shared" si="6"/>
        <v>0</v>
      </c>
      <c r="K23" s="36">
        <f t="shared" si="6"/>
        <v>14760.12</v>
      </c>
      <c r="L23" s="36">
        <f t="shared" si="6"/>
        <v>0</v>
      </c>
      <c r="M23" s="36">
        <f t="shared" si="6"/>
        <v>15563.083500000002</v>
      </c>
      <c r="N23" s="36">
        <f t="shared" si="6"/>
        <v>73120.797599999991</v>
      </c>
      <c r="O23" s="33">
        <f>F23-N23</f>
        <v>-157597.8676</v>
      </c>
      <c r="P23" s="21">
        <f>SUM(P8:P22)</f>
        <v>53284.689999999995</v>
      </c>
    </row>
    <row r="24" spans="1:16" x14ac:dyDescent="0.2">
      <c r="P24" s="39">
        <f>P23*0.91</f>
        <v>48489.067899999995</v>
      </c>
    </row>
    <row r="25" spans="1:16" x14ac:dyDescent="0.2">
      <c r="D25" t="s">
        <v>25</v>
      </c>
      <c r="E25" t="s">
        <v>61</v>
      </c>
      <c r="F25" t="s">
        <v>54</v>
      </c>
      <c r="M25" t="s">
        <v>24</v>
      </c>
      <c r="N25" t="s">
        <v>56</v>
      </c>
      <c r="P25" s="22">
        <v>1693</v>
      </c>
    </row>
    <row r="26" spans="1:16" x14ac:dyDescent="0.2">
      <c r="E26" t="s">
        <v>61</v>
      </c>
      <c r="F26" t="s">
        <v>62</v>
      </c>
      <c r="J26" s="58"/>
      <c r="M26" t="s">
        <v>24</v>
      </c>
      <c r="N26" t="s">
        <v>57</v>
      </c>
      <c r="P26" s="22">
        <v>376</v>
      </c>
    </row>
    <row r="27" spans="1:16" x14ac:dyDescent="0.2">
      <c r="M27" t="s">
        <v>28</v>
      </c>
      <c r="N27" t="s">
        <v>58</v>
      </c>
      <c r="P27" s="22">
        <v>929</v>
      </c>
    </row>
    <row r="28" spans="1:16" x14ac:dyDescent="0.2">
      <c r="F28" s="53"/>
      <c r="G28" s="35"/>
      <c r="H28" s="35"/>
      <c r="I28" s="35"/>
      <c r="J28" s="35"/>
      <c r="K28" s="35"/>
      <c r="L28" s="3"/>
      <c r="M28" t="s">
        <v>29</v>
      </c>
      <c r="N28" t="s">
        <v>59</v>
      </c>
      <c r="P28" s="22">
        <v>3025</v>
      </c>
    </row>
    <row r="29" spans="1:16" x14ac:dyDescent="0.2">
      <c r="M29" t="s">
        <v>25</v>
      </c>
      <c r="N29" t="s">
        <v>54</v>
      </c>
      <c r="P29" s="22">
        <v>1000</v>
      </c>
    </row>
    <row r="30" spans="1:16" x14ac:dyDescent="0.2">
      <c r="M30" t="s">
        <v>41</v>
      </c>
      <c r="N30" t="s">
        <v>64</v>
      </c>
      <c r="P30" s="60">
        <v>2588</v>
      </c>
    </row>
    <row r="31" spans="1:16" x14ac:dyDescent="0.2">
      <c r="P31" s="55">
        <f>SUM(P25:P30)</f>
        <v>9611</v>
      </c>
    </row>
    <row r="32" spans="1:16" x14ac:dyDescent="0.2">
      <c r="I32" s="54" t="s">
        <v>63</v>
      </c>
      <c r="K32" s="61">
        <f>O23+P32</f>
        <v>-118719.7997</v>
      </c>
      <c r="O32" s="54" t="s">
        <v>55</v>
      </c>
      <c r="P32" s="52">
        <f>P24-P31</f>
        <v>38878.067899999995</v>
      </c>
    </row>
    <row r="33" spans="1:16" x14ac:dyDescent="0.2">
      <c r="O33" s="54"/>
      <c r="P33" s="59"/>
    </row>
    <row r="34" spans="1:16" x14ac:dyDescent="0.2">
      <c r="O34" s="54"/>
      <c r="P34" s="59"/>
    </row>
    <row r="36" spans="1:16" x14ac:dyDescent="0.2">
      <c r="F36" t="s">
        <v>43</v>
      </c>
    </row>
    <row r="40" spans="1:16" x14ac:dyDescent="0.2">
      <c r="A40" s="91" t="s">
        <v>48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1:16" ht="38.25" x14ac:dyDescent="0.2">
      <c r="A41" s="74" t="s">
        <v>30</v>
      </c>
      <c r="B41" s="75"/>
      <c r="C41" s="76"/>
      <c r="D41" s="74"/>
      <c r="E41" s="75"/>
      <c r="F41" s="75"/>
      <c r="G41" s="75"/>
      <c r="H41" s="75"/>
      <c r="I41" s="75"/>
      <c r="J41" s="75"/>
      <c r="K41" s="75"/>
      <c r="L41" s="75"/>
      <c r="M41" s="76"/>
      <c r="N41" s="46" t="s">
        <v>31</v>
      </c>
      <c r="O41" s="46" t="s">
        <v>32</v>
      </c>
      <c r="P41" s="45" t="s">
        <v>46</v>
      </c>
    </row>
    <row r="42" spans="1:16" x14ac:dyDescent="0.2">
      <c r="A42" s="77" t="s">
        <v>24</v>
      </c>
      <c r="B42" s="78"/>
      <c r="C42" s="79"/>
      <c r="D42" s="86" t="s">
        <v>50</v>
      </c>
      <c r="E42" s="87"/>
      <c r="F42" s="87"/>
      <c r="G42" s="87"/>
      <c r="H42" s="87"/>
      <c r="I42" s="87"/>
      <c r="J42" s="87"/>
      <c r="K42" s="87"/>
      <c r="L42" s="87"/>
      <c r="M42" s="88"/>
      <c r="N42" s="44" t="s">
        <v>38</v>
      </c>
      <c r="O42" s="21">
        <v>1.4999999999999999E-2</v>
      </c>
      <c r="P42" s="41" t="s">
        <v>49</v>
      </c>
    </row>
    <row r="43" spans="1:16" x14ac:dyDescent="0.2">
      <c r="A43" s="92"/>
      <c r="B43" s="93"/>
      <c r="C43" s="94"/>
      <c r="D43" s="86" t="s">
        <v>51</v>
      </c>
      <c r="E43" s="87"/>
      <c r="F43" s="87"/>
      <c r="G43" s="87"/>
      <c r="H43" s="87"/>
      <c r="I43" s="87"/>
      <c r="J43" s="87"/>
      <c r="K43" s="87"/>
      <c r="L43" s="87"/>
      <c r="M43" s="88"/>
      <c r="N43" s="44" t="s">
        <v>38</v>
      </c>
      <c r="O43" s="42">
        <v>1.4999999999999999E-2</v>
      </c>
      <c r="P43" s="43"/>
    </row>
    <row r="44" spans="1:16" x14ac:dyDescent="0.2">
      <c r="A44" s="89" t="s">
        <v>33</v>
      </c>
      <c r="B44" s="90"/>
      <c r="C44" s="9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 t="s">
        <v>34</v>
      </c>
      <c r="P44" s="47">
        <v>1.6930000000000001</v>
      </c>
    </row>
    <row r="45" spans="1:16" x14ac:dyDescent="0.2">
      <c r="A45" s="77" t="s">
        <v>24</v>
      </c>
      <c r="B45" s="78"/>
      <c r="C45" s="79"/>
      <c r="D45" s="86" t="s">
        <v>52</v>
      </c>
      <c r="E45" s="87"/>
      <c r="F45" s="87"/>
      <c r="G45" s="87"/>
      <c r="H45" s="87"/>
      <c r="I45" s="87"/>
      <c r="J45" s="87"/>
      <c r="K45" s="87"/>
      <c r="L45" s="87"/>
      <c r="M45" s="88"/>
      <c r="N45" s="44" t="s">
        <v>35</v>
      </c>
      <c r="O45" s="21">
        <v>0.01</v>
      </c>
      <c r="P45" s="41"/>
    </row>
    <row r="46" spans="1:16" x14ac:dyDescent="0.2">
      <c r="A46" s="89" t="s">
        <v>33</v>
      </c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 t="s">
        <v>34</v>
      </c>
      <c r="P46" s="47">
        <v>0.376</v>
      </c>
    </row>
    <row r="47" spans="1:16" ht="24.75" customHeight="1" x14ac:dyDescent="0.2">
      <c r="A47" s="77" t="s">
        <v>28</v>
      </c>
      <c r="B47" s="78"/>
      <c r="C47" s="79"/>
      <c r="D47" s="63" t="s">
        <v>53</v>
      </c>
      <c r="E47" s="64"/>
      <c r="F47" s="64"/>
      <c r="G47" s="64"/>
      <c r="H47" s="64"/>
      <c r="I47" s="64"/>
      <c r="J47" s="64"/>
      <c r="K47" s="64"/>
      <c r="L47" s="64"/>
      <c r="M47" s="65"/>
      <c r="N47" s="44" t="s">
        <v>36</v>
      </c>
      <c r="O47" s="21">
        <v>1.7000000000000001E-2</v>
      </c>
      <c r="P47" s="41"/>
    </row>
    <row r="48" spans="1:16" x14ac:dyDescent="0.2">
      <c r="A48" s="84" t="s">
        <v>33</v>
      </c>
      <c r="B48" s="85"/>
      <c r="C48" s="85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 t="s">
        <v>34</v>
      </c>
      <c r="P48" s="49">
        <v>0.92900000000000005</v>
      </c>
    </row>
    <row r="49" spans="1:16" ht="30" customHeight="1" x14ac:dyDescent="0.2">
      <c r="A49" s="77" t="s">
        <v>29</v>
      </c>
      <c r="B49" s="78"/>
      <c r="C49" s="79"/>
      <c r="D49" s="63" t="s">
        <v>45</v>
      </c>
      <c r="E49" s="64"/>
      <c r="F49" s="64"/>
      <c r="G49" s="64"/>
      <c r="H49" s="64"/>
      <c r="I49" s="64"/>
      <c r="J49" s="64"/>
      <c r="K49" s="64"/>
      <c r="L49" s="64"/>
      <c r="M49" s="65"/>
      <c r="N49" s="44" t="s">
        <v>38</v>
      </c>
      <c r="O49" s="21">
        <v>1.1000000000000001</v>
      </c>
      <c r="P49" s="41"/>
    </row>
    <row r="50" spans="1:16" x14ac:dyDescent="0.2">
      <c r="A50" s="82" t="s">
        <v>33</v>
      </c>
      <c r="B50" s="83"/>
      <c r="C50" s="83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 t="s">
        <v>34</v>
      </c>
      <c r="P50" s="51">
        <v>3.0249999999999999</v>
      </c>
    </row>
    <row r="51" spans="1:16" ht="30" customHeight="1" x14ac:dyDescent="0.2">
      <c r="A51" s="77" t="s">
        <v>41</v>
      </c>
      <c r="B51" s="78"/>
      <c r="C51" s="79"/>
      <c r="D51" s="63" t="s">
        <v>60</v>
      </c>
      <c r="E51" s="64"/>
      <c r="F51" s="64"/>
      <c r="G51" s="64"/>
      <c r="H51" s="64"/>
      <c r="I51" s="64"/>
      <c r="J51" s="64"/>
      <c r="K51" s="64"/>
      <c r="L51" s="64"/>
      <c r="M51" s="65"/>
      <c r="N51" s="44" t="s">
        <v>36</v>
      </c>
      <c r="O51" s="21">
        <v>1.06E-2</v>
      </c>
      <c r="P51" s="41"/>
    </row>
    <row r="52" spans="1:16" x14ac:dyDescent="0.2">
      <c r="A52" s="80" t="s">
        <v>33</v>
      </c>
      <c r="B52" s="81"/>
      <c r="C52" s="81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 t="s">
        <v>34</v>
      </c>
      <c r="P52" s="57">
        <v>2.5880000000000001</v>
      </c>
    </row>
    <row r="54" spans="1:16" x14ac:dyDescent="0.2">
      <c r="P54" s="32"/>
    </row>
  </sheetData>
  <mergeCells count="25">
    <mergeCell ref="A43:C43"/>
    <mergeCell ref="A44:C44"/>
    <mergeCell ref="D41:M41"/>
    <mergeCell ref="D42:M42"/>
    <mergeCell ref="D43:M43"/>
    <mergeCell ref="A41:C41"/>
    <mergeCell ref="A42:C42"/>
    <mergeCell ref="A40:P40"/>
    <mergeCell ref="A5:P5"/>
    <mergeCell ref="D6:F6"/>
    <mergeCell ref="H6:H7"/>
    <mergeCell ref="K6:M6"/>
    <mergeCell ref="N6:N7"/>
    <mergeCell ref="A47:C47"/>
    <mergeCell ref="D47:M47"/>
    <mergeCell ref="A48:C48"/>
    <mergeCell ref="A45:C45"/>
    <mergeCell ref="D45:M45"/>
    <mergeCell ref="A46:C46"/>
    <mergeCell ref="A51:C51"/>
    <mergeCell ref="D51:M51"/>
    <mergeCell ref="A52:C52"/>
    <mergeCell ref="A49:C49"/>
    <mergeCell ref="D49:M49"/>
    <mergeCell ref="A50:C50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2013-03-06T08:11:35Z</cp:lastPrinted>
  <dcterms:created xsi:type="dcterms:W3CDTF">2007-02-04T12:22:59Z</dcterms:created>
  <dcterms:modified xsi:type="dcterms:W3CDTF">2015-02-09T12:00:55Z</dcterms:modified>
</cp:coreProperties>
</file>