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225" windowHeight="4875"/>
  </bookViews>
  <sheets>
    <sheet name="2015" sheetId="4" r:id="rId1"/>
  </sheets>
  <definedNames>
    <definedName name="_xlnm.Print_Area" localSheetId="0">'2015'!$A$2:$Q$49</definedName>
  </definedNames>
  <calcPr calcId="145621"/>
</workbook>
</file>

<file path=xl/calcChain.xml><?xml version="1.0" encoding="utf-8"?>
<calcChain xmlns="http://schemas.openxmlformats.org/spreadsheetml/2006/main">
  <c r="K15" i="4" l="1"/>
  <c r="M14" i="4"/>
  <c r="H15" i="4"/>
  <c r="E15" i="4"/>
  <c r="J14" i="4"/>
  <c r="I14" i="4"/>
  <c r="G14" i="4"/>
  <c r="F14" i="4"/>
  <c r="C34" i="4" l="1"/>
  <c r="B34" i="4"/>
  <c r="D34" i="4" l="1"/>
  <c r="E34" i="4" s="1"/>
  <c r="G34" i="4"/>
  <c r="K36" i="4"/>
  <c r="F36" i="4"/>
  <c r="B35" i="4"/>
  <c r="L34" i="4" l="1"/>
  <c r="M34" i="4" s="1"/>
  <c r="N34" i="4" s="1"/>
  <c r="B33" i="4"/>
  <c r="C33" i="4"/>
  <c r="G33" i="4"/>
  <c r="J33" i="4"/>
  <c r="D33" i="4" l="1"/>
  <c r="L33" i="4" s="1"/>
  <c r="M8" i="4"/>
  <c r="M10" i="4"/>
  <c r="M11" i="4"/>
  <c r="M12" i="4"/>
  <c r="M13" i="4"/>
  <c r="E33" i="4" l="1"/>
  <c r="M33" i="4" s="1"/>
  <c r="N33" i="4" s="1"/>
  <c r="I13" i="4"/>
  <c r="J13" i="4" s="1"/>
  <c r="F13" i="4"/>
  <c r="G13" i="4" s="1"/>
  <c r="I12" i="4" l="1"/>
  <c r="J12" i="4" s="1"/>
  <c r="F12" i="4"/>
  <c r="G12" i="4" s="1"/>
  <c r="B32" i="4" l="1"/>
  <c r="C32" i="4"/>
  <c r="G32" i="4"/>
  <c r="D32" i="4" l="1"/>
  <c r="E32" i="4" s="1"/>
  <c r="H30" i="4"/>
  <c r="L32" i="4" l="1"/>
  <c r="M32" i="4" s="1"/>
  <c r="N32" i="4" s="1"/>
  <c r="F11" i="4"/>
  <c r="G11" i="4" s="1"/>
  <c r="I11" i="4"/>
  <c r="J11" i="4" s="1"/>
  <c r="B31" i="4" l="1"/>
  <c r="C31" i="4"/>
  <c r="G31" i="4"/>
  <c r="D31" i="4" l="1"/>
  <c r="E31" i="4" s="1"/>
  <c r="I10" i="4"/>
  <c r="J10" i="4" s="1"/>
  <c r="F10" i="4"/>
  <c r="G10" i="4" s="1"/>
  <c r="L31" i="4" l="1"/>
  <c r="M31" i="4" s="1"/>
  <c r="N31" i="4" s="1"/>
  <c r="H29" i="4"/>
  <c r="B30" i="4" l="1"/>
  <c r="C30" i="4"/>
  <c r="G30" i="4"/>
  <c r="D30" i="4" l="1"/>
  <c r="E30" i="4" s="1"/>
  <c r="J29" i="4"/>
  <c r="L30" i="4" l="1"/>
  <c r="M30" i="4" s="1"/>
  <c r="N30" i="4" s="1"/>
  <c r="L9" i="4"/>
  <c r="M9" i="4" s="1"/>
  <c r="I9" i="4"/>
  <c r="J9" i="4" s="1"/>
  <c r="F9" i="4"/>
  <c r="G9" i="4" s="1"/>
  <c r="H26" i="4" l="1"/>
  <c r="B29" i="4" l="1"/>
  <c r="C29" i="4"/>
  <c r="G29" i="4"/>
  <c r="D29" i="4" l="1"/>
  <c r="E29" i="4" s="1"/>
  <c r="J28" i="4"/>
  <c r="L29" i="4" l="1"/>
  <c r="M29" i="4" s="1"/>
  <c r="N29" i="4" s="1"/>
  <c r="B28" i="4"/>
  <c r="C28" i="4"/>
  <c r="G28" i="4"/>
  <c r="D28" i="4" l="1"/>
  <c r="L28" i="4" s="1"/>
  <c r="I8" i="4"/>
  <c r="J8" i="4" s="1"/>
  <c r="F8" i="4"/>
  <c r="G8" i="4" s="1"/>
  <c r="E28" i="4" l="1"/>
  <c r="M28" i="4" s="1"/>
  <c r="N28" i="4" s="1"/>
  <c r="L7" i="4"/>
  <c r="M7" i="4" s="1"/>
  <c r="I7" i="4"/>
  <c r="J7" i="4" s="1"/>
  <c r="F7" i="4"/>
  <c r="G7" i="4" s="1"/>
  <c r="J27" i="4" l="1"/>
  <c r="B27" i="4" l="1"/>
  <c r="C27" i="4"/>
  <c r="G27" i="4"/>
  <c r="D27" i="4" l="1"/>
  <c r="E27" i="4" s="1"/>
  <c r="L27" i="4" l="1"/>
  <c r="M27" i="4" s="1"/>
  <c r="N27" i="4" s="1"/>
  <c r="L6" i="4"/>
  <c r="M6" i="4" s="1"/>
  <c r="I6" i="4"/>
  <c r="J6" i="4" s="1"/>
  <c r="F6" i="4"/>
  <c r="G6" i="4" s="1"/>
  <c r="B26" i="4" l="1"/>
  <c r="C26" i="4"/>
  <c r="G26" i="4"/>
  <c r="D26" i="4" l="1"/>
  <c r="E26" i="4" s="1"/>
  <c r="L5" i="4"/>
  <c r="L15" i="4" s="1"/>
  <c r="I5" i="4"/>
  <c r="I15" i="4" s="1"/>
  <c r="F5" i="4"/>
  <c r="F15" i="4" s="1"/>
  <c r="J5" i="4" l="1"/>
  <c r="J15" i="4" s="1"/>
  <c r="G5" i="4"/>
  <c r="G15" i="4" s="1"/>
  <c r="M5" i="4"/>
  <c r="M15" i="4" s="1"/>
  <c r="L26" i="4"/>
  <c r="M26" i="4" s="1"/>
  <c r="N26" i="4" s="1"/>
  <c r="B25" i="4"/>
  <c r="C25" i="4"/>
  <c r="G25" i="4"/>
  <c r="D25" i="4" l="1"/>
  <c r="E25" i="4" s="1"/>
  <c r="I23" i="4"/>
  <c r="I36" i="4" s="1"/>
  <c r="H24" i="4"/>
  <c r="H36" i="4" s="1"/>
  <c r="G24" i="4"/>
  <c r="C24" i="4"/>
  <c r="B24" i="4"/>
  <c r="J23" i="4"/>
  <c r="J36" i="4" s="1"/>
  <c r="G23" i="4"/>
  <c r="G36" i="4" s="1"/>
  <c r="C23" i="4"/>
  <c r="C36" i="4" s="1"/>
  <c r="B23" i="4"/>
  <c r="B36" i="4" s="1"/>
  <c r="O36" i="4"/>
  <c r="O37" i="4" s="1"/>
  <c r="D35" i="4"/>
  <c r="L25" i="4" l="1"/>
  <c r="M25" i="4" s="1"/>
  <c r="N25" i="4" s="1"/>
  <c r="E35" i="4"/>
  <c r="L35" i="4"/>
  <c r="D24" i="4"/>
  <c r="D23" i="4"/>
  <c r="D36" i="4" s="1"/>
  <c r="L24" i="4" l="1"/>
  <c r="E24" i="4"/>
  <c r="E23" i="4"/>
  <c r="L23" i="4"/>
  <c r="M35" i="4"/>
  <c r="E36" i="4" l="1"/>
  <c r="L36" i="4"/>
  <c r="M24" i="4"/>
  <c r="N24" i="4" s="1"/>
  <c r="N35" i="4"/>
  <c r="M23" i="4"/>
  <c r="M36" i="4" s="1"/>
  <c r="N36" i="4" l="1"/>
  <c r="N23" i="4"/>
</calcChain>
</file>

<file path=xl/comments1.xml><?xml version="1.0" encoding="utf-8"?>
<comments xmlns="http://schemas.openxmlformats.org/spreadsheetml/2006/main">
  <authors>
    <author>User</author>
  </authors>
  <commentList>
    <comment ref="J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1500р-перенос перила 4 подъезд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24000р-окна пластиковые
2640р-краска+окраска дверей</t>
        </r>
      </text>
    </comment>
    <comment ref="J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1470р-вывоз мусора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3052,08р-дезинсекция</t>
        </r>
      </text>
    </comment>
    <comment ref="J3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установка датчиков движения и светильников-3850р</t>
        </r>
      </text>
    </comment>
  </commentList>
</comments>
</file>

<file path=xl/sharedStrings.xml><?xml version="1.0" encoding="utf-8"?>
<sst xmlns="http://schemas.openxmlformats.org/spreadsheetml/2006/main" count="73" uniqueCount="50">
  <si>
    <t xml:space="preserve">Поступило </t>
  </si>
  <si>
    <t>Расходы</t>
  </si>
  <si>
    <t>Содержание</t>
  </si>
  <si>
    <t>февраль</t>
  </si>
  <si>
    <t>март</t>
  </si>
  <si>
    <t>апрель</t>
  </si>
  <si>
    <t>содержание</t>
  </si>
  <si>
    <t>ремонт</t>
  </si>
  <si>
    <t>итого</t>
  </si>
  <si>
    <t>май</t>
  </si>
  <si>
    <t>Генеральный директор ООО " Георгиевск-ЖЭУ"                                             Никишина И.М.</t>
  </si>
  <si>
    <t>январь</t>
  </si>
  <si>
    <t>Кап.рем.</t>
  </si>
  <si>
    <t>июль</t>
  </si>
  <si>
    <t>август</t>
  </si>
  <si>
    <t>октябрь</t>
  </si>
  <si>
    <t>ноябрь</t>
  </si>
  <si>
    <t>декабрь</t>
  </si>
  <si>
    <t>июнь</t>
  </si>
  <si>
    <t>сентябрь</t>
  </si>
  <si>
    <t>дезинсекция</t>
  </si>
  <si>
    <t>ростелеком</t>
  </si>
  <si>
    <t>1500р</t>
  </si>
  <si>
    <t>Информация о доходах и расходах за 2015 год по дому Бойко 108</t>
  </si>
  <si>
    <t>перенос перила 4 подъезд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</si>
  <si>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</si>
  <si>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</si>
  <si>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</si>
  <si>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</si>
  <si>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</si>
  <si>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</si>
  <si>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</si>
  <si>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Проф. обходы и осмотры, разное</t>
  </si>
  <si>
    <t>Содержание придомовой территории</t>
  </si>
  <si>
    <t>Обслуживание приборов учета</t>
  </si>
  <si>
    <t>Общие эксплутационные расходы</t>
  </si>
  <si>
    <t>Остаток на конец</t>
  </si>
  <si>
    <t>Оплата банковских услуг и услуг ЕРКЦ</t>
  </si>
  <si>
    <t>Затраты по управлению</t>
  </si>
  <si>
    <t>Текущий ремонт</t>
  </si>
  <si>
    <t>аварийно-диспетчерское обслуживание</t>
  </si>
  <si>
    <t>24000р</t>
  </si>
  <si>
    <t>окна пластиковые</t>
  </si>
  <si>
    <t>2640р</t>
  </si>
  <si>
    <t>краска+окраска дверей</t>
  </si>
  <si>
    <t>1470р</t>
  </si>
  <si>
    <t>вывоз мусора</t>
  </si>
  <si>
    <t>3052,08р</t>
  </si>
  <si>
    <t>3850р</t>
  </si>
  <si>
    <t>установка датчиков движения и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</si>
</sst>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9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164" fontId="2" fillId="4" borderId="4" xfId="0" applyNumberFormat="1" applyFont="1" applyFill="1" applyBorder="1"/>
    <xf numFmtId="4" fontId="2" fillId="7" borderId="4" xfId="0" applyNumberFormat="1" applyFont="1" applyFill="1" applyBorder="1"/>
    <xf numFmtId="2" fontId="7" fillId="0" borderId="0" xfId="0" applyNumberFormat="1" applyFont="1" applyFill="1" applyAlignment="1"/>
    <xf numFmtId="2" fontId="3" fillId="0" borderId="4" xfId="0" applyNumberFormat="1" applyFont="1" applyBorder="1"/>
    <xf numFmtId="2" fontId="3" fillId="0" borderId="4" xfId="0" applyNumberFormat="1" applyFont="1" applyFill="1" applyBorder="1"/>
    <xf numFmtId="0" fontId="3" fillId="0" borderId="4" xfId="0" applyFont="1" applyBorder="1"/>
    <xf numFmtId="4" fontId="3" fillId="6" borderId="4" xfId="0" applyNumberFormat="1" applyFont="1" applyFill="1" applyBorder="1"/>
    <xf numFmtId="4" fontId="3" fillId="7" borderId="5" xfId="0" applyNumberFormat="1" applyFont="1" applyFill="1" applyBorder="1"/>
    <xf numFmtId="0" fontId="7" fillId="2" borderId="0" xfId="0" applyFont="1" applyFill="1"/>
    <xf numFmtId="17" fontId="3" fillId="3" borderId="4" xfId="0" applyNumberFormat="1" applyFont="1" applyFill="1" applyBorder="1" applyAlignment="1">
      <alignment horizontal="left"/>
    </xf>
    <xf numFmtId="0" fontId="3" fillId="7" borderId="4" xfId="0" applyFont="1" applyFill="1" applyBorder="1"/>
    <xf numFmtId="4" fontId="3" fillId="0" borderId="0" xfId="0" applyNumberFormat="1" applyFont="1"/>
    <xf numFmtId="17" fontId="3" fillId="11" borderId="4" xfId="0" applyNumberFormat="1" applyFont="1" applyFill="1" applyBorder="1" applyAlignment="1">
      <alignment horizontal="left"/>
    </xf>
    <xf numFmtId="164" fontId="2" fillId="7" borderId="4" xfId="0" applyNumberFormat="1" applyFont="1" applyFill="1" applyBorder="1"/>
    <xf numFmtId="4" fontId="8" fillId="8" borderId="4" xfId="0" applyNumberFormat="1" applyFont="1" applyFill="1" applyBorder="1"/>
    <xf numFmtId="164" fontId="2" fillId="5" borderId="4" xfId="0" applyNumberFormat="1" applyFont="1" applyFill="1" applyBorder="1"/>
    <xf numFmtId="164" fontId="2" fillId="5" borderId="4" xfId="0" applyNumberFormat="1" applyFont="1" applyFill="1" applyBorder="1" applyAlignment="1"/>
    <xf numFmtId="4" fontId="2" fillId="3" borderId="2" xfId="0" applyNumberFormat="1" applyFont="1" applyFill="1" applyBorder="1"/>
    <xf numFmtId="4" fontId="0" fillId="0" borderId="0" xfId="0" applyNumberFormat="1"/>
    <xf numFmtId="0" fontId="9" fillId="0" borderId="0" xfId="0" applyFont="1"/>
    <xf numFmtId="0" fontId="0" fillId="9" borderId="4" xfId="0" applyFill="1" applyBorder="1"/>
    <xf numFmtId="0" fontId="0" fillId="12" borderId="4" xfId="0" applyFill="1" applyBorder="1"/>
    <xf numFmtId="0" fontId="0" fillId="13" borderId="4" xfId="0" applyFill="1" applyBorder="1"/>
    <xf numFmtId="2" fontId="0" fillId="9" borderId="4" xfId="0" applyNumberFormat="1" applyFill="1" applyBorder="1"/>
    <xf numFmtId="2" fontId="0" fillId="12" borderId="4" xfId="0" applyNumberFormat="1" applyFill="1" applyBorder="1"/>
    <xf numFmtId="2" fontId="0" fillId="13" borderId="4" xfId="0" applyNumberFormat="1" applyFill="1" applyBorder="1"/>
    <xf numFmtId="2" fontId="0" fillId="10" borderId="4" xfId="0" applyNumberFormat="1" applyFill="1" applyBorder="1"/>
    <xf numFmtId="164" fontId="2" fillId="4" borderId="5" xfId="0" applyNumberFormat="1" applyFont="1" applyFill="1" applyBorder="1"/>
    <xf numFmtId="0" fontId="3" fillId="7" borderId="8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5" borderId="0" xfId="0" applyNumberFormat="1" applyFont="1" applyFill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9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Q47"/>
  <sheetViews>
    <sheetView tabSelected="1" zoomScaleNormal="100" workbookViewId="0">
      <selection activeCell="D22" sqref="D22"/>
    </sheetView>
  </sheetViews>
  <sheetFormatPr defaultRowHeight="12.75" x14ac:dyDescent="0.2"/>
  <cols>
    <col min="2" max="3" width="10" customWidth="1"/>
    <col min="5" max="5" width="9.5703125" customWidth="1"/>
    <col min="6" max="6" width="9.7109375" customWidth="1"/>
    <col min="7" max="7" width="11.85546875" customWidth="1"/>
    <col min="10" max="10" width="9.5703125" bestFit="1" customWidth="1"/>
    <col min="13" max="13" width="9.7109375" customWidth="1"/>
  </cols>
  <sheetData>
    <row r="2" spans="1:17" x14ac:dyDescent="0.2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">
      <c r="A3" s="35"/>
      <c r="B3" s="35"/>
      <c r="C3" s="35"/>
      <c r="D3" s="35"/>
      <c r="E3" s="47" t="s">
        <v>26</v>
      </c>
      <c r="F3" s="47"/>
      <c r="G3" s="47"/>
      <c r="H3" s="48" t="s">
        <v>27</v>
      </c>
      <c r="I3" s="48"/>
      <c r="J3" s="48"/>
      <c r="K3" s="49" t="s">
        <v>28</v>
      </c>
      <c r="L3" s="49"/>
      <c r="M3" s="49"/>
    </row>
    <row r="4" spans="1:17" x14ac:dyDescent="0.2">
      <c r="A4" s="35"/>
      <c r="B4" s="35"/>
      <c r="C4" s="35"/>
      <c r="D4" s="35"/>
      <c r="E4" s="25" t="s">
        <v>29</v>
      </c>
      <c r="F4" s="25" t="s">
        <v>30</v>
      </c>
      <c r="G4" s="25" t="s">
        <v>31</v>
      </c>
      <c r="H4" s="26" t="s">
        <v>29</v>
      </c>
      <c r="I4" s="26" t="s">
        <v>30</v>
      </c>
      <c r="J4" s="26" t="s">
        <v>31</v>
      </c>
      <c r="K4" s="27" t="s">
        <v>29</v>
      </c>
      <c r="L4" s="27" t="s">
        <v>30</v>
      </c>
      <c r="M4" s="27" t="s">
        <v>31</v>
      </c>
    </row>
    <row r="5" spans="1:17" x14ac:dyDescent="0.2">
      <c r="A5" s="36" t="s">
        <v>4</v>
      </c>
      <c r="B5" s="36"/>
      <c r="C5" s="36"/>
      <c r="D5" s="36"/>
      <c r="E5" s="28">
        <v>13224</v>
      </c>
      <c r="F5" s="28">
        <f>7537.68+705.28</f>
        <v>8242.9600000000009</v>
      </c>
      <c r="G5" s="28">
        <f>E5-F5</f>
        <v>4981.0399999999991</v>
      </c>
      <c r="H5" s="29">
        <v>6951</v>
      </c>
      <c r="I5" s="29">
        <f>3962.07+370.72</f>
        <v>4332.79</v>
      </c>
      <c r="J5" s="29">
        <f>H5-I5</f>
        <v>2618.21</v>
      </c>
      <c r="K5" s="30">
        <v>440.71</v>
      </c>
      <c r="L5" s="30">
        <f>1700.58+408.05</f>
        <v>2108.63</v>
      </c>
      <c r="M5" s="30">
        <f>K5-L5</f>
        <v>-1667.92</v>
      </c>
    </row>
    <row r="6" spans="1:17" x14ac:dyDescent="0.2">
      <c r="A6" s="38" t="s">
        <v>5</v>
      </c>
      <c r="B6" s="38"/>
      <c r="C6" s="38"/>
      <c r="D6" s="39"/>
      <c r="E6" s="28">
        <v>12783.2</v>
      </c>
      <c r="F6" s="28">
        <f>7140.96+88.16+617.12</f>
        <v>7846.24</v>
      </c>
      <c r="G6" s="28">
        <f t="shared" ref="G6:G14" si="0">E6-F6</f>
        <v>4936.9600000000009</v>
      </c>
      <c r="H6" s="29">
        <v>6719.3</v>
      </c>
      <c r="I6" s="29">
        <f>3753.54+46.34+324.38</f>
        <v>4124.26</v>
      </c>
      <c r="J6" s="29">
        <f t="shared" ref="J6:J14" si="1">H6-I6</f>
        <v>2595.04</v>
      </c>
      <c r="K6" s="30">
        <v>0</v>
      </c>
      <c r="L6" s="30">
        <f>326.62+52.49+73.16</f>
        <v>452.27</v>
      </c>
      <c r="M6" s="30">
        <f t="shared" ref="M6:M14" si="2">K6-L6</f>
        <v>-452.27</v>
      </c>
    </row>
    <row r="7" spans="1:17" x14ac:dyDescent="0.2">
      <c r="A7" s="38" t="s">
        <v>9</v>
      </c>
      <c r="B7" s="38"/>
      <c r="C7" s="38"/>
      <c r="D7" s="39"/>
      <c r="E7" s="28">
        <v>15207.6</v>
      </c>
      <c r="F7" s="28">
        <f>12454.24+705.28+352.64</f>
        <v>13512.16</v>
      </c>
      <c r="G7" s="28">
        <f t="shared" si="0"/>
        <v>1695.4400000000005</v>
      </c>
      <c r="H7" s="29">
        <v>7993.65</v>
      </c>
      <c r="I7" s="29">
        <f>6641.26+370.72+185.36</f>
        <v>7197.34</v>
      </c>
      <c r="J7" s="29">
        <f t="shared" si="1"/>
        <v>796.30999999999949</v>
      </c>
      <c r="K7" s="30">
        <v>0</v>
      </c>
      <c r="L7" s="30">
        <f>225.22+50.69</f>
        <v>275.90999999999997</v>
      </c>
      <c r="M7" s="30">
        <f t="shared" si="2"/>
        <v>-275.90999999999997</v>
      </c>
    </row>
    <row r="8" spans="1:17" x14ac:dyDescent="0.2">
      <c r="A8" s="38" t="s">
        <v>18</v>
      </c>
      <c r="B8" s="38"/>
      <c r="C8" s="38"/>
      <c r="D8" s="39"/>
      <c r="E8" s="28">
        <v>12606.88</v>
      </c>
      <c r="F8" s="28">
        <f>7581.76+1719.12+308.56</f>
        <v>9609.44</v>
      </c>
      <c r="G8" s="28">
        <f t="shared" si="0"/>
        <v>2997.4399999999987</v>
      </c>
      <c r="H8" s="29">
        <v>6626.62</v>
      </c>
      <c r="I8" s="29">
        <f>3989.24+903.63+162.19</f>
        <v>5055.0599999999995</v>
      </c>
      <c r="J8" s="29">
        <f t="shared" si="1"/>
        <v>1571.5600000000004</v>
      </c>
      <c r="K8" s="30">
        <v>0</v>
      </c>
      <c r="L8" s="30">
        <v>53.34</v>
      </c>
      <c r="M8" s="30">
        <f t="shared" si="2"/>
        <v>-53.34</v>
      </c>
    </row>
    <row r="9" spans="1:17" x14ac:dyDescent="0.2">
      <c r="A9" s="38" t="s">
        <v>13</v>
      </c>
      <c r="B9" s="38"/>
      <c r="C9" s="38"/>
      <c r="D9" s="39"/>
      <c r="E9" s="28">
        <v>11216.62</v>
      </c>
      <c r="F9" s="28">
        <f>8346.24+1210.46+881.6</f>
        <v>10438.300000000001</v>
      </c>
      <c r="G9" s="28">
        <f t="shared" si="0"/>
        <v>778.31999999999971</v>
      </c>
      <c r="H9" s="29">
        <v>5845.97</v>
      </c>
      <c r="I9" s="29">
        <f>4120.26+635.19+463.4</f>
        <v>5218.8500000000004</v>
      </c>
      <c r="J9" s="29">
        <f t="shared" si="1"/>
        <v>627.11999999999989</v>
      </c>
      <c r="K9" s="30">
        <v>0</v>
      </c>
      <c r="L9" s="30">
        <f>68.76+128.26</f>
        <v>197.01999999999998</v>
      </c>
      <c r="M9" s="30">
        <f t="shared" si="2"/>
        <v>-197.01999999999998</v>
      </c>
    </row>
    <row r="10" spans="1:17" x14ac:dyDescent="0.2">
      <c r="A10" s="38" t="s">
        <v>14</v>
      </c>
      <c r="B10" s="38"/>
      <c r="C10" s="38"/>
      <c r="D10" s="39"/>
      <c r="E10" s="28">
        <v>11553.6</v>
      </c>
      <c r="F10" s="28">
        <f>9408.06+1271.36+336.98</f>
        <v>11016.4</v>
      </c>
      <c r="G10" s="28">
        <f t="shared" si="0"/>
        <v>537.20000000000073</v>
      </c>
      <c r="H10" s="29">
        <v>6021.6</v>
      </c>
      <c r="I10" s="29">
        <f>5068.33+663.99+175.63</f>
        <v>5907.95</v>
      </c>
      <c r="J10" s="29">
        <f t="shared" si="1"/>
        <v>113.65000000000055</v>
      </c>
      <c r="K10" s="30">
        <v>0</v>
      </c>
      <c r="L10" s="30">
        <v>212.02</v>
      </c>
      <c r="M10" s="30">
        <f t="shared" si="2"/>
        <v>-212.02</v>
      </c>
    </row>
    <row r="11" spans="1:17" x14ac:dyDescent="0.2">
      <c r="A11" s="38" t="s">
        <v>19</v>
      </c>
      <c r="B11" s="38"/>
      <c r="C11" s="38"/>
      <c r="D11" s="39"/>
      <c r="E11" s="28">
        <v>21350.09</v>
      </c>
      <c r="F11" s="28">
        <f>16189.1+2136.18+288.84</f>
        <v>18614.12</v>
      </c>
      <c r="G11" s="28">
        <f t="shared" si="0"/>
        <v>2735.9700000000012</v>
      </c>
      <c r="H11" s="29">
        <v>11127.42</v>
      </c>
      <c r="I11" s="29">
        <f>8301.97+1335.11+150.54</f>
        <v>9787.6200000000008</v>
      </c>
      <c r="J11" s="29">
        <f t="shared" si="1"/>
        <v>1339.7999999999993</v>
      </c>
      <c r="K11" s="30">
        <v>0</v>
      </c>
      <c r="L11" s="30">
        <v>47.61</v>
      </c>
      <c r="M11" s="30">
        <f t="shared" si="2"/>
        <v>-47.61</v>
      </c>
    </row>
    <row r="12" spans="1:17" x14ac:dyDescent="0.2">
      <c r="A12" s="38" t="s">
        <v>15</v>
      </c>
      <c r="B12" s="38"/>
      <c r="C12" s="38"/>
      <c r="D12" s="39"/>
      <c r="E12" s="28">
        <v>14105.02</v>
      </c>
      <c r="F12" s="28">
        <f>12108.55+96.28+1019.48</f>
        <v>13224.31</v>
      </c>
      <c r="G12" s="28">
        <f t="shared" si="0"/>
        <v>880.71000000000095</v>
      </c>
      <c r="H12" s="29">
        <v>7351.37</v>
      </c>
      <c r="I12" s="29">
        <f>6624.84+50.18+43.64</f>
        <v>6718.6600000000008</v>
      </c>
      <c r="J12" s="29">
        <f t="shared" si="1"/>
        <v>632.70999999999913</v>
      </c>
      <c r="K12" s="30">
        <v>0</v>
      </c>
      <c r="L12" s="30">
        <v>0</v>
      </c>
      <c r="M12" s="30">
        <f t="shared" si="2"/>
        <v>0</v>
      </c>
    </row>
    <row r="13" spans="1:17" x14ac:dyDescent="0.2">
      <c r="A13" s="38" t="s">
        <v>16</v>
      </c>
      <c r="B13" s="38"/>
      <c r="C13" s="38"/>
      <c r="D13" s="39"/>
      <c r="E13" s="28">
        <v>17474.82</v>
      </c>
      <c r="F13" s="28">
        <f>10164.98+577.68</f>
        <v>10742.66</v>
      </c>
      <c r="G13" s="28">
        <f t="shared" si="0"/>
        <v>6732.16</v>
      </c>
      <c r="H13" s="29">
        <v>9107.67</v>
      </c>
      <c r="I13" s="29">
        <f>5343.63+301.08</f>
        <v>5644.71</v>
      </c>
      <c r="J13" s="29">
        <f t="shared" si="1"/>
        <v>3462.96</v>
      </c>
      <c r="K13" s="30">
        <v>0</v>
      </c>
      <c r="L13" s="30">
        <v>61.27</v>
      </c>
      <c r="M13" s="30">
        <f t="shared" si="2"/>
        <v>-61.27</v>
      </c>
    </row>
    <row r="14" spans="1:17" x14ac:dyDescent="0.2">
      <c r="A14" s="38" t="s">
        <v>17</v>
      </c>
      <c r="B14" s="38"/>
      <c r="C14" s="38"/>
      <c r="D14" s="39"/>
      <c r="E14" s="28">
        <v>10903.71</v>
      </c>
      <c r="F14" s="28">
        <f>14653.33+481.4+3367.26</f>
        <v>18501.989999999998</v>
      </c>
      <c r="G14" s="28">
        <f t="shared" si="0"/>
        <v>-7598.2799999999988</v>
      </c>
      <c r="H14" s="29">
        <v>5682.89</v>
      </c>
      <c r="I14" s="29">
        <f>7637.09+250.9+2041.93</f>
        <v>9929.92</v>
      </c>
      <c r="J14" s="29">
        <f t="shared" si="1"/>
        <v>-4247.03</v>
      </c>
      <c r="K14" s="30">
        <v>2286.65</v>
      </c>
      <c r="L14" s="30">
        <v>83.31</v>
      </c>
      <c r="M14" s="30">
        <f t="shared" si="2"/>
        <v>2203.34</v>
      </c>
    </row>
    <row r="15" spans="1:17" x14ac:dyDescent="0.2">
      <c r="A15" s="37" t="s">
        <v>8</v>
      </c>
      <c r="B15" s="37"/>
      <c r="C15" s="37"/>
      <c r="D15" s="37"/>
      <c r="E15" s="31">
        <f t="shared" ref="E15:M15" si="3">SUM(E5:E14)</f>
        <v>140425.54</v>
      </c>
      <c r="F15" s="31">
        <f t="shared" si="3"/>
        <v>121748.58000000002</v>
      </c>
      <c r="G15" s="31">
        <f t="shared" si="3"/>
        <v>18676.960000000003</v>
      </c>
      <c r="H15" s="31">
        <f t="shared" si="3"/>
        <v>73427.489999999991</v>
      </c>
      <c r="I15" s="31">
        <f t="shared" si="3"/>
        <v>63917.159999999996</v>
      </c>
      <c r="J15" s="31">
        <f t="shared" si="3"/>
        <v>9510.3299999999981</v>
      </c>
      <c r="K15" s="31">
        <f t="shared" si="3"/>
        <v>2727.36</v>
      </c>
      <c r="L15" s="31">
        <f t="shared" si="3"/>
        <v>3491.38</v>
      </c>
      <c r="M15" s="31">
        <f t="shared" si="3"/>
        <v>-764.02</v>
      </c>
    </row>
    <row r="18" spans="1:15" x14ac:dyDescent="0.2">
      <c r="A18" s="2"/>
      <c r="B18" s="4"/>
      <c r="C18" s="43" t="s">
        <v>23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7"/>
    </row>
    <row r="19" spans="1:15" x14ac:dyDescent="0.2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</row>
    <row r="20" spans="1:15" ht="12.75" customHeight="1" x14ac:dyDescent="0.2">
      <c r="A20" s="2"/>
      <c r="B20" s="50" t="s">
        <v>0</v>
      </c>
      <c r="C20" s="50"/>
      <c r="D20" s="50"/>
      <c r="E20" s="40" t="s">
        <v>37</v>
      </c>
      <c r="F20" s="40" t="s">
        <v>38</v>
      </c>
      <c r="G20" s="40" t="s">
        <v>33</v>
      </c>
      <c r="H20" s="40" t="s">
        <v>39</v>
      </c>
      <c r="I20" s="50" t="s">
        <v>2</v>
      </c>
      <c r="J20" s="50"/>
      <c r="K20" s="50"/>
      <c r="L20" s="50"/>
      <c r="M20" s="44" t="s">
        <v>1</v>
      </c>
      <c r="N20" s="52" t="s">
        <v>36</v>
      </c>
      <c r="O20" s="9" t="s">
        <v>12</v>
      </c>
    </row>
    <row r="21" spans="1:15" x14ac:dyDescent="0.2">
      <c r="A21" s="2"/>
      <c r="B21" s="44" t="s">
        <v>6</v>
      </c>
      <c r="C21" s="44" t="s">
        <v>7</v>
      </c>
      <c r="D21" s="8" t="s">
        <v>8</v>
      </c>
      <c r="E21" s="41"/>
      <c r="F21" s="41"/>
      <c r="G21" s="41"/>
      <c r="H21" s="41"/>
      <c r="I21" s="40" t="s">
        <v>40</v>
      </c>
      <c r="J21" s="40" t="s">
        <v>32</v>
      </c>
      <c r="K21" s="40" t="s">
        <v>34</v>
      </c>
      <c r="L21" s="40" t="s">
        <v>35</v>
      </c>
      <c r="M21" s="51"/>
      <c r="N21" s="53"/>
      <c r="O21" s="10"/>
    </row>
    <row r="22" spans="1:15" ht="42.75" customHeight="1" thickBot="1" x14ac:dyDescent="0.25">
      <c r="A22" s="2">
        <v>2487.1999999999998</v>
      </c>
      <c r="B22" s="45"/>
      <c r="C22" s="45"/>
      <c r="D22" s="11">
        <v>14049.86</v>
      </c>
      <c r="E22" s="42"/>
      <c r="F22" s="42"/>
      <c r="G22" s="42"/>
      <c r="H22" s="42"/>
      <c r="I22" s="42"/>
      <c r="J22" s="42"/>
      <c r="K22" s="42"/>
      <c r="L22" s="42"/>
      <c r="M22" s="45"/>
      <c r="N22" s="54"/>
      <c r="O22" s="33">
        <v>0</v>
      </c>
    </row>
    <row r="23" spans="1:15" x14ac:dyDescent="0.2">
      <c r="A23" s="14" t="s">
        <v>11</v>
      </c>
      <c r="B23" s="20">
        <f>11333.7+2168.1+392.4</f>
        <v>13894.2</v>
      </c>
      <c r="C23" s="20">
        <f>6501+1204.5+218</f>
        <v>7923.5</v>
      </c>
      <c r="D23" s="21">
        <f t="shared" ref="D23:D35" si="4">SUM(B23:C23)</f>
        <v>21817.7</v>
      </c>
      <c r="E23" s="5">
        <f t="shared" ref="E23:E34" si="5">D23*0.09</f>
        <v>1963.5930000000001</v>
      </c>
      <c r="F23" s="5">
        <v>0</v>
      </c>
      <c r="G23" s="32">
        <f t="shared" ref="G23:G34" si="6">1500*1.332*1.3+1000</f>
        <v>3597.4</v>
      </c>
      <c r="H23" s="5">
        <v>0</v>
      </c>
      <c r="I23" s="5">
        <f>A22*1.4</f>
        <v>3482.0799999999995</v>
      </c>
      <c r="J23" s="5">
        <f>3996+1500</f>
        <v>5496</v>
      </c>
      <c r="K23" s="5">
        <v>1200</v>
      </c>
      <c r="L23" s="5">
        <f t="shared" ref="L23:L35" si="7">D23*0.15</f>
        <v>3272.6550000000002</v>
      </c>
      <c r="M23" s="5">
        <f t="shared" ref="M23:M35" si="8">SUM(E23:L23)</f>
        <v>19011.727999999999</v>
      </c>
      <c r="N23" s="22">
        <f t="shared" ref="N23:N36" si="9">D23-M23</f>
        <v>2805.9720000000016</v>
      </c>
      <c r="O23" s="12">
        <v>0</v>
      </c>
    </row>
    <row r="24" spans="1:15" x14ac:dyDescent="0.2">
      <c r="A24" s="14" t="s">
        <v>3</v>
      </c>
      <c r="B24" s="20">
        <f>14501.4+1332.9</f>
        <v>15834.3</v>
      </c>
      <c r="C24" s="20">
        <f>7841+740.5</f>
        <v>8581.5</v>
      </c>
      <c r="D24" s="21">
        <f t="shared" si="4"/>
        <v>24415.8</v>
      </c>
      <c r="E24" s="5">
        <f t="shared" si="5"/>
        <v>2197.422</v>
      </c>
      <c r="F24" s="5">
        <v>2487.1999999999998</v>
      </c>
      <c r="G24" s="5">
        <f t="shared" si="6"/>
        <v>3597.4</v>
      </c>
      <c r="H24" s="5">
        <f>6449+1120</f>
        <v>7569</v>
      </c>
      <c r="I24" s="5">
        <v>3482.08</v>
      </c>
      <c r="J24" s="5">
        <v>3996</v>
      </c>
      <c r="K24" s="5">
        <v>1200</v>
      </c>
      <c r="L24" s="5">
        <f t="shared" si="7"/>
        <v>3662.37</v>
      </c>
      <c r="M24" s="5">
        <f t="shared" si="8"/>
        <v>28191.471999999998</v>
      </c>
      <c r="N24" s="22">
        <f t="shared" si="9"/>
        <v>-3775.6719999999987</v>
      </c>
      <c r="O24" s="12">
        <v>0</v>
      </c>
    </row>
    <row r="25" spans="1:15" x14ac:dyDescent="0.2">
      <c r="A25" s="14" t="s">
        <v>4</v>
      </c>
      <c r="B25" s="20">
        <f>15123.2+4121.1+2000</f>
        <v>21244.300000000003</v>
      </c>
      <c r="C25" s="20">
        <f>8124+2289.5+2000</f>
        <v>12413.5</v>
      </c>
      <c r="D25" s="21">
        <f t="shared" si="4"/>
        <v>33657.800000000003</v>
      </c>
      <c r="E25" s="5">
        <f t="shared" si="5"/>
        <v>3029.2020000000002</v>
      </c>
      <c r="F25" s="5">
        <v>2487.1999999999998</v>
      </c>
      <c r="G25" s="5">
        <f t="shared" si="6"/>
        <v>3597.4</v>
      </c>
      <c r="H25" s="5">
        <v>0</v>
      </c>
      <c r="I25" s="5">
        <v>3482.08</v>
      </c>
      <c r="J25" s="5">
        <v>3996</v>
      </c>
      <c r="K25" s="5">
        <v>1200</v>
      </c>
      <c r="L25" s="5">
        <f t="shared" si="7"/>
        <v>5048.67</v>
      </c>
      <c r="M25" s="5">
        <f t="shared" si="8"/>
        <v>22840.551999999996</v>
      </c>
      <c r="N25" s="22">
        <f t="shared" si="9"/>
        <v>10817.248000000007</v>
      </c>
      <c r="O25" s="12">
        <v>0</v>
      </c>
    </row>
    <row r="26" spans="1:15" x14ac:dyDescent="0.2">
      <c r="A26" s="14" t="s">
        <v>5</v>
      </c>
      <c r="B26" s="20">
        <f>12679.3+1062.9+392.4</f>
        <v>14134.599999999999</v>
      </c>
      <c r="C26" s="20">
        <f>6481.5+590.5+218</f>
        <v>7290</v>
      </c>
      <c r="D26" s="21">
        <f t="shared" si="4"/>
        <v>21424.6</v>
      </c>
      <c r="E26" s="5">
        <f t="shared" si="5"/>
        <v>1928.2139999999997</v>
      </c>
      <c r="F26" s="5">
        <v>2487.1999999999998</v>
      </c>
      <c r="G26" s="5">
        <f t="shared" si="6"/>
        <v>3597.4</v>
      </c>
      <c r="H26" s="5">
        <f>1653+2414</f>
        <v>4067</v>
      </c>
      <c r="I26" s="5">
        <v>3482.08</v>
      </c>
      <c r="J26" s="5">
        <v>3996</v>
      </c>
      <c r="K26" s="5">
        <v>1200</v>
      </c>
      <c r="L26" s="5">
        <f t="shared" si="7"/>
        <v>3213.6899999999996</v>
      </c>
      <c r="M26" s="5">
        <f t="shared" si="8"/>
        <v>23971.583999999999</v>
      </c>
      <c r="N26" s="22">
        <f t="shared" si="9"/>
        <v>-2546.9840000000004</v>
      </c>
      <c r="O26" s="12">
        <v>0</v>
      </c>
    </row>
    <row r="27" spans="1:15" x14ac:dyDescent="0.2">
      <c r="A27" s="14" t="s">
        <v>9</v>
      </c>
      <c r="B27" s="20">
        <f>20726.5+2724.1+394</f>
        <v>23844.6</v>
      </c>
      <c r="C27" s="20">
        <f>10401.5+1449.84+218</f>
        <v>12069.34</v>
      </c>
      <c r="D27" s="21">
        <f t="shared" si="4"/>
        <v>35913.94</v>
      </c>
      <c r="E27" s="5">
        <f t="shared" si="5"/>
        <v>3232.2546000000002</v>
      </c>
      <c r="F27" s="5">
        <v>2487.1999999999998</v>
      </c>
      <c r="G27" s="5">
        <f t="shared" si="6"/>
        <v>3597.4</v>
      </c>
      <c r="H27" s="5">
        <v>0</v>
      </c>
      <c r="I27" s="5">
        <v>3482.08</v>
      </c>
      <c r="J27" s="5">
        <f>3996+26640</f>
        <v>30636</v>
      </c>
      <c r="K27" s="5">
        <v>0</v>
      </c>
      <c r="L27" s="5">
        <f t="shared" si="7"/>
        <v>5387.0910000000003</v>
      </c>
      <c r="M27" s="5">
        <f t="shared" si="8"/>
        <v>48822.025600000001</v>
      </c>
      <c r="N27" s="22">
        <f t="shared" si="9"/>
        <v>-12908.085599999999</v>
      </c>
      <c r="O27" s="12">
        <v>0</v>
      </c>
    </row>
    <row r="28" spans="1:15" x14ac:dyDescent="0.2">
      <c r="A28" s="14" t="s">
        <v>18</v>
      </c>
      <c r="B28" s="20">
        <f>19225.31+5631.2+591.4</f>
        <v>25447.910000000003</v>
      </c>
      <c r="C28" s="20">
        <f>11471+3298+208</f>
        <v>14977</v>
      </c>
      <c r="D28" s="21">
        <f t="shared" si="4"/>
        <v>40424.910000000003</v>
      </c>
      <c r="E28" s="5">
        <f t="shared" si="5"/>
        <v>3638.2419</v>
      </c>
      <c r="F28" s="5">
        <v>2487.1999999999998</v>
      </c>
      <c r="G28" s="5">
        <f t="shared" si="6"/>
        <v>3597.4</v>
      </c>
      <c r="H28" s="5">
        <v>10537</v>
      </c>
      <c r="I28" s="5">
        <v>3482.08</v>
      </c>
      <c r="J28" s="5">
        <f>3996+1470</f>
        <v>5466</v>
      </c>
      <c r="K28" s="5">
        <v>0</v>
      </c>
      <c r="L28" s="5">
        <f t="shared" si="7"/>
        <v>6063.7365</v>
      </c>
      <c r="M28" s="5">
        <f t="shared" si="8"/>
        <v>35271.6584</v>
      </c>
      <c r="N28" s="22">
        <f t="shared" si="9"/>
        <v>5153.2516000000032</v>
      </c>
      <c r="O28" s="12">
        <v>0</v>
      </c>
    </row>
    <row r="29" spans="1:15" x14ac:dyDescent="0.2">
      <c r="A29" s="14" t="s">
        <v>13</v>
      </c>
      <c r="B29" s="20">
        <f>12993.59+3345.4+234</f>
        <v>16572.989999999998</v>
      </c>
      <c r="C29" s="20">
        <f>6872+2303+228</f>
        <v>9403</v>
      </c>
      <c r="D29" s="21">
        <f t="shared" si="4"/>
        <v>25975.989999999998</v>
      </c>
      <c r="E29" s="5">
        <f t="shared" si="5"/>
        <v>2337.8390999999997</v>
      </c>
      <c r="F29" s="5">
        <v>2487.1999999999998</v>
      </c>
      <c r="G29" s="5">
        <f t="shared" si="6"/>
        <v>3597.4</v>
      </c>
      <c r="H29" s="5">
        <f>363+15017</f>
        <v>15380</v>
      </c>
      <c r="I29" s="5">
        <v>3482.08</v>
      </c>
      <c r="J29" s="5">
        <f>3996+3052.08</f>
        <v>7048.08</v>
      </c>
      <c r="K29" s="5">
        <v>0</v>
      </c>
      <c r="L29" s="5">
        <f t="shared" si="7"/>
        <v>3896.3984999999993</v>
      </c>
      <c r="M29" s="5">
        <f t="shared" si="8"/>
        <v>38228.997600000002</v>
      </c>
      <c r="N29" s="22">
        <f t="shared" si="9"/>
        <v>-12253.007600000004</v>
      </c>
      <c r="O29" s="12">
        <v>0</v>
      </c>
    </row>
    <row r="30" spans="1:15" x14ac:dyDescent="0.2">
      <c r="A30" s="14" t="s">
        <v>14</v>
      </c>
      <c r="B30" s="20">
        <f>16446.24+2273.8+350.2</f>
        <v>19070.240000000002</v>
      </c>
      <c r="C30" s="20">
        <f>9307.5+1315.66+218</f>
        <v>10841.16</v>
      </c>
      <c r="D30" s="21">
        <f t="shared" si="4"/>
        <v>29911.4</v>
      </c>
      <c r="E30" s="5">
        <f t="shared" si="5"/>
        <v>2692.0259999999998</v>
      </c>
      <c r="F30" s="5">
        <v>2487.1999999999998</v>
      </c>
      <c r="G30" s="5">
        <f t="shared" si="6"/>
        <v>3597.4</v>
      </c>
      <c r="H30" s="5">
        <f>1212+175</f>
        <v>1387</v>
      </c>
      <c r="I30" s="5">
        <v>3482.08</v>
      </c>
      <c r="J30" s="5">
        <v>3996</v>
      </c>
      <c r="K30" s="5">
        <v>0</v>
      </c>
      <c r="L30" s="5">
        <f t="shared" si="7"/>
        <v>4486.71</v>
      </c>
      <c r="M30" s="5">
        <f t="shared" si="8"/>
        <v>22128.415999999997</v>
      </c>
      <c r="N30" s="22">
        <f t="shared" si="9"/>
        <v>7782.984000000004</v>
      </c>
      <c r="O30" s="12">
        <v>0</v>
      </c>
    </row>
    <row r="31" spans="1:15" x14ac:dyDescent="0.2">
      <c r="A31" s="14" t="s">
        <v>19</v>
      </c>
      <c r="B31" s="20">
        <f>19388.7+7104.2+392.62</f>
        <v>26885.52</v>
      </c>
      <c r="C31" s="20">
        <f>10589+11547.5+218</f>
        <v>22354.5</v>
      </c>
      <c r="D31" s="21">
        <f t="shared" si="4"/>
        <v>49240.020000000004</v>
      </c>
      <c r="E31" s="5">
        <f t="shared" si="5"/>
        <v>4431.6018000000004</v>
      </c>
      <c r="F31" s="5">
        <v>2487.1999999999998</v>
      </c>
      <c r="G31" s="5">
        <f t="shared" si="6"/>
        <v>3597.4</v>
      </c>
      <c r="H31" s="5">
        <v>3338</v>
      </c>
      <c r="I31" s="5">
        <v>3482.08</v>
      </c>
      <c r="J31" s="5">
        <v>4395.6000000000004</v>
      </c>
      <c r="K31" s="5">
        <v>0</v>
      </c>
      <c r="L31" s="5">
        <f t="shared" si="7"/>
        <v>7386.0030000000006</v>
      </c>
      <c r="M31" s="5">
        <f t="shared" si="8"/>
        <v>29117.884800000003</v>
      </c>
      <c r="N31" s="22">
        <f t="shared" si="9"/>
        <v>20122.135200000001</v>
      </c>
      <c r="O31" s="12">
        <v>0</v>
      </c>
    </row>
    <row r="32" spans="1:15" x14ac:dyDescent="0.2">
      <c r="A32" s="14" t="s">
        <v>15</v>
      </c>
      <c r="B32" s="20">
        <f>14235.08+2792.9</f>
        <v>17027.98</v>
      </c>
      <c r="C32" s="20">
        <f>7908.5+440.5+1939.52</f>
        <v>10288.52</v>
      </c>
      <c r="D32" s="21">
        <f t="shared" si="4"/>
        <v>27316.5</v>
      </c>
      <c r="E32" s="5">
        <f t="shared" si="5"/>
        <v>2458.4850000000001</v>
      </c>
      <c r="F32" s="5">
        <v>2487.1999999999998</v>
      </c>
      <c r="G32" s="5">
        <f t="shared" si="6"/>
        <v>3597.4</v>
      </c>
      <c r="H32" s="5">
        <v>4117</v>
      </c>
      <c r="I32" s="5">
        <v>3482.08</v>
      </c>
      <c r="J32" s="5">
        <v>4395.6000000000004</v>
      </c>
      <c r="K32" s="5">
        <v>1400</v>
      </c>
      <c r="L32" s="5">
        <f t="shared" si="7"/>
        <v>4097.4749999999995</v>
      </c>
      <c r="M32" s="5">
        <f t="shared" si="8"/>
        <v>26035.239999999998</v>
      </c>
      <c r="N32" s="22">
        <f t="shared" si="9"/>
        <v>1281.260000000002</v>
      </c>
      <c r="O32" s="12">
        <v>0</v>
      </c>
    </row>
    <row r="33" spans="1:15" x14ac:dyDescent="0.2">
      <c r="A33" s="14" t="s">
        <v>16</v>
      </c>
      <c r="B33" s="20">
        <f>16709.73+19887.3</f>
        <v>36597.03</v>
      </c>
      <c r="C33" s="20">
        <f>9072.78+2475.5</f>
        <v>11548.28</v>
      </c>
      <c r="D33" s="21">
        <f t="shared" si="4"/>
        <v>48145.31</v>
      </c>
      <c r="E33" s="5">
        <f t="shared" si="5"/>
        <v>4333.0778999999993</v>
      </c>
      <c r="F33" s="5">
        <v>2487.1999999999998</v>
      </c>
      <c r="G33" s="5">
        <f t="shared" si="6"/>
        <v>3597.4</v>
      </c>
      <c r="H33" s="5">
        <v>456</v>
      </c>
      <c r="I33" s="5">
        <v>3482.08</v>
      </c>
      <c r="J33" s="5">
        <f>4395.6+3850</f>
        <v>8245.6</v>
      </c>
      <c r="K33" s="5">
        <v>1400</v>
      </c>
      <c r="L33" s="5">
        <f t="shared" si="7"/>
        <v>7221.7964999999995</v>
      </c>
      <c r="M33" s="5">
        <f t="shared" si="8"/>
        <v>31223.154399999999</v>
      </c>
      <c r="N33" s="22">
        <f t="shared" si="9"/>
        <v>16922.155599999998</v>
      </c>
      <c r="O33" s="12">
        <v>0</v>
      </c>
    </row>
    <row r="34" spans="1:15" x14ac:dyDescent="0.2">
      <c r="A34" s="14" t="s">
        <v>17</v>
      </c>
      <c r="B34" s="20">
        <f>16135.3+2190.6</f>
        <v>18325.899999999998</v>
      </c>
      <c r="C34" s="20">
        <f>8408.5+1217</f>
        <v>9625.5</v>
      </c>
      <c r="D34" s="21">
        <f t="shared" si="4"/>
        <v>27951.399999999998</v>
      </c>
      <c r="E34" s="5">
        <f t="shared" si="5"/>
        <v>2515.6259999999997</v>
      </c>
      <c r="F34" s="5">
        <v>2487.1999999999998</v>
      </c>
      <c r="G34" s="5">
        <f t="shared" si="6"/>
        <v>3597.4</v>
      </c>
      <c r="H34" s="5">
        <v>408</v>
      </c>
      <c r="I34" s="5">
        <v>3482.08</v>
      </c>
      <c r="J34" s="5">
        <v>4395.6000000000004</v>
      </c>
      <c r="K34" s="5">
        <v>1400</v>
      </c>
      <c r="L34" s="5">
        <f t="shared" si="7"/>
        <v>4192.7099999999991</v>
      </c>
      <c r="M34" s="5">
        <f t="shared" si="8"/>
        <v>22478.615999999998</v>
      </c>
      <c r="N34" s="22">
        <f t="shared" si="9"/>
        <v>5472.7839999999997</v>
      </c>
      <c r="O34" s="12">
        <v>0</v>
      </c>
    </row>
    <row r="35" spans="1:15" x14ac:dyDescent="0.2">
      <c r="A35" s="17" t="s">
        <v>21</v>
      </c>
      <c r="B35" s="20">
        <f>900+900+900+900</f>
        <v>3600</v>
      </c>
      <c r="C35" s="20">
        <v>0</v>
      </c>
      <c r="D35" s="21">
        <f t="shared" si="4"/>
        <v>3600</v>
      </c>
      <c r="E35" s="5">
        <f>D35*0.06</f>
        <v>216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7"/>
        <v>540</v>
      </c>
      <c r="M35" s="5">
        <f t="shared" si="8"/>
        <v>756</v>
      </c>
      <c r="N35" s="22">
        <f t="shared" si="9"/>
        <v>2844</v>
      </c>
      <c r="O35" s="12">
        <v>0</v>
      </c>
    </row>
    <row r="36" spans="1:15" x14ac:dyDescent="0.2">
      <c r="A36" s="15" t="s">
        <v>8</v>
      </c>
      <c r="B36" s="18">
        <f>SUM(B23:B35)</f>
        <v>252479.56999999998</v>
      </c>
      <c r="C36" s="18">
        <f>SUM(C23:C35)</f>
        <v>137315.79999999999</v>
      </c>
      <c r="D36" s="6">
        <f>SUM(D22:D35)</f>
        <v>403845.23000000004</v>
      </c>
      <c r="E36" s="18">
        <f t="shared" ref="E36:M36" si="10">SUM(E23:E35)</f>
        <v>34973.583299999998</v>
      </c>
      <c r="F36" s="18">
        <f t="shared" si="10"/>
        <v>27359.200000000004</v>
      </c>
      <c r="G36" s="18">
        <f t="shared" si="10"/>
        <v>43168.80000000001</v>
      </c>
      <c r="H36" s="18">
        <f t="shared" si="10"/>
        <v>47259</v>
      </c>
      <c r="I36" s="18">
        <f t="shared" si="10"/>
        <v>41784.960000000014</v>
      </c>
      <c r="J36" s="18">
        <f t="shared" si="10"/>
        <v>86062.480000000025</v>
      </c>
      <c r="K36" s="18">
        <f t="shared" si="10"/>
        <v>9000</v>
      </c>
      <c r="L36" s="18">
        <f t="shared" si="10"/>
        <v>58469.305499999988</v>
      </c>
      <c r="M36" s="18">
        <f t="shared" si="10"/>
        <v>348077.32880000002</v>
      </c>
      <c r="N36" s="19">
        <f t="shared" si="9"/>
        <v>55767.901200000022</v>
      </c>
      <c r="O36" s="10">
        <f>SUM(O22:O22)</f>
        <v>0</v>
      </c>
    </row>
    <row r="37" spans="1: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3">
        <f>O36*0.91</f>
        <v>0</v>
      </c>
    </row>
    <row r="38" spans="1:15" x14ac:dyDescent="0.2">
      <c r="B38" s="3"/>
      <c r="C38" s="16" t="s">
        <v>11</v>
      </c>
      <c r="D38" s="3" t="s">
        <v>22</v>
      </c>
      <c r="E38" s="3" t="s">
        <v>24</v>
      </c>
      <c r="F38" s="3"/>
      <c r="G38" s="3"/>
      <c r="H38" s="3"/>
      <c r="I38" s="3"/>
      <c r="J38" s="3"/>
      <c r="K38" s="3"/>
      <c r="L38" s="3"/>
      <c r="M38" s="3"/>
      <c r="N38" s="3"/>
      <c r="O38" s="24"/>
    </row>
    <row r="39" spans="1:15" x14ac:dyDescent="0.2">
      <c r="B39" s="3"/>
      <c r="C39" s="3" t="s">
        <v>9</v>
      </c>
      <c r="D39" s="3" t="s">
        <v>41</v>
      </c>
      <c r="E39" s="3" t="s">
        <v>42</v>
      </c>
      <c r="F39" s="3"/>
      <c r="G39" s="3"/>
      <c r="H39" s="3"/>
      <c r="I39" s="3"/>
      <c r="J39" s="3"/>
      <c r="K39" s="3"/>
      <c r="L39" s="3"/>
      <c r="M39" s="16"/>
      <c r="N39" s="3"/>
      <c r="O39" s="24"/>
    </row>
    <row r="40" spans="1:15" x14ac:dyDescent="0.2">
      <c r="C40" s="23"/>
      <c r="D40" s="1" t="s">
        <v>43</v>
      </c>
      <c r="E40" s="23" t="s">
        <v>44</v>
      </c>
    </row>
    <row r="41" spans="1:15" x14ac:dyDescent="0.2">
      <c r="C41" t="s">
        <v>18</v>
      </c>
      <c r="D41" s="34" t="s">
        <v>45</v>
      </c>
      <c r="E41" s="34" t="s">
        <v>46</v>
      </c>
    </row>
    <row r="42" spans="1:15" x14ac:dyDescent="0.2">
      <c r="C42" t="s">
        <v>13</v>
      </c>
      <c r="D42" s="34" t="s">
        <v>47</v>
      </c>
      <c r="E42" s="34" t="s">
        <v>20</v>
      </c>
    </row>
    <row r="43" spans="1:15" x14ac:dyDescent="0.2">
      <c r="C43" t="s">
        <v>16</v>
      </c>
      <c r="D43" s="34" t="s">
        <v>48</v>
      </c>
      <c r="E43" s="34" t="s">
        <v>49</v>
      </c>
    </row>
    <row r="44" spans="1:15" x14ac:dyDescent="0.2">
      <c r="D44" s="34"/>
      <c r="E44" s="34"/>
    </row>
    <row r="45" spans="1:15" x14ac:dyDescent="0.2">
      <c r="D45" s="34"/>
    </row>
    <row r="46" spans="1:15" x14ac:dyDescent="0.2">
      <c r="D46" s="1"/>
    </row>
    <row r="47" spans="1:15" x14ac:dyDescent="0.2">
      <c r="C47" s="23"/>
      <c r="E47" s="4" t="s">
        <v>10</v>
      </c>
      <c r="F47" s="4"/>
      <c r="G47" s="4"/>
      <c r="H47" s="4"/>
      <c r="I47" s="4"/>
      <c r="J47" s="4"/>
    </row>
  </sheetData>
  <mergeCells count="32">
    <mergeCell ref="M20:M22"/>
    <mergeCell ref="N20:N22"/>
    <mergeCell ref="E20:E22"/>
    <mergeCell ref="A13:D13"/>
    <mergeCell ref="A14:D14"/>
    <mergeCell ref="A2:Q2"/>
    <mergeCell ref="A3:D3"/>
    <mergeCell ref="E3:G3"/>
    <mergeCell ref="H3:J3"/>
    <mergeCell ref="K3:M3"/>
    <mergeCell ref="H20:H22"/>
    <mergeCell ref="K21:K22"/>
    <mergeCell ref="A7:D7"/>
    <mergeCell ref="C18:N18"/>
    <mergeCell ref="A9:D9"/>
    <mergeCell ref="J21:J22"/>
    <mergeCell ref="G20:G22"/>
    <mergeCell ref="I21:I22"/>
    <mergeCell ref="B21:B22"/>
    <mergeCell ref="C21:C22"/>
    <mergeCell ref="A11:D11"/>
    <mergeCell ref="A10:D10"/>
    <mergeCell ref="A8:D8"/>
    <mergeCell ref="L21:L22"/>
    <mergeCell ref="B20:D20"/>
    <mergeCell ref="I20:L20"/>
    <mergeCell ref="A4:D4"/>
    <mergeCell ref="A5:D5"/>
    <mergeCell ref="A15:D15"/>
    <mergeCell ref="A6:D6"/>
    <mergeCell ref="F20:F22"/>
    <mergeCell ref="A12:D12"/>
  </mergeCells>
  <pageMargins left="0.25" right="6.25E-2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2015-02-05T05:03:16Z</cp:lastPrinted>
  <dcterms:created xsi:type="dcterms:W3CDTF">2007-02-04T12:22:59Z</dcterms:created>
  <dcterms:modified xsi:type="dcterms:W3CDTF">2016-02-03T04:18:58Z</dcterms:modified>
</cp:coreProperties>
</file>