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12225" windowHeight="4815"/>
  </bookViews>
  <sheets>
    <sheet name="2015" sheetId="4" r:id="rId1"/>
  </sheets>
  <externalReferences>
    <externalReference r:id="rId2"/>
  </externalReferences>
  <definedNames>
    <definedName name="_xlnm.Print_Area" localSheetId="0">'2015'!$A$45:$O$45</definedName>
  </definedNames>
  <calcPr calcId="145621"/>
</workbook>
</file>

<file path=xl/calcChain.xml><?xml version="1.0" encoding="utf-8"?>
<calcChain xmlns="http://schemas.openxmlformats.org/spreadsheetml/2006/main">
  <c r="K14" i="4" l="1"/>
  <c r="H14" i="4"/>
  <c r="E14" i="4"/>
  <c r="J13" i="4"/>
  <c r="G13" i="4"/>
  <c r="D33" i="4"/>
  <c r="E33" i="4"/>
  <c r="I35" i="4"/>
  <c r="H35" i="4"/>
  <c r="D34" i="4"/>
  <c r="F33" i="4" l="1"/>
  <c r="G33" i="4"/>
  <c r="N33" i="4" s="1"/>
  <c r="O33" i="4" s="1"/>
  <c r="L33" i="4"/>
  <c r="M7" i="4"/>
  <c r="M8" i="4"/>
  <c r="M9" i="4"/>
  <c r="M10" i="4"/>
  <c r="M11" i="4"/>
  <c r="M12" i="4"/>
  <c r="M4" i="4"/>
  <c r="J4" i="4"/>
  <c r="G8" i="4"/>
  <c r="G4" i="4"/>
  <c r="D32" i="4" l="1"/>
  <c r="E32" i="4"/>
  <c r="F32" i="4" l="1"/>
  <c r="G32" i="4" s="1"/>
  <c r="I12" i="4"/>
  <c r="J12" i="4" s="1"/>
  <c r="F12" i="4"/>
  <c r="G12" i="4" s="1"/>
  <c r="L32" i="4" l="1"/>
  <c r="N32" i="4" s="1"/>
  <c r="O32" i="4" s="1"/>
  <c r="F11" i="4"/>
  <c r="G11" i="4" s="1"/>
  <c r="I11" i="4"/>
  <c r="J11" i="4" s="1"/>
  <c r="D31" i="4" l="1"/>
  <c r="E31" i="4"/>
  <c r="F31" i="4" l="1"/>
  <c r="L31" i="4" s="1"/>
  <c r="J30" i="4"/>
  <c r="J35" i="4" s="1"/>
  <c r="G31" i="4" l="1"/>
  <c r="N31" i="4" s="1"/>
  <c r="O31" i="4" s="1"/>
  <c r="I10" i="4"/>
  <c r="J10" i="4" s="1"/>
  <c r="F10" i="4"/>
  <c r="G10" i="4" s="1"/>
  <c r="D30" i="4" l="1"/>
  <c r="E30" i="4"/>
  <c r="F30" i="4" l="1"/>
  <c r="G30" i="4" s="1"/>
  <c r="F9" i="4"/>
  <c r="G9" i="4" s="1"/>
  <c r="I9" i="4"/>
  <c r="J9" i="4" s="1"/>
  <c r="L30" i="4" l="1"/>
  <c r="N30" i="4" s="1"/>
  <c r="O30" i="4" s="1"/>
  <c r="D29" i="4"/>
  <c r="E29" i="4"/>
  <c r="F29" i="4" s="1"/>
  <c r="G29" i="4" s="1"/>
  <c r="L29" i="4" l="1"/>
  <c r="N29" i="4" s="1"/>
  <c r="O29" i="4" s="1"/>
  <c r="I8" i="4"/>
  <c r="J8" i="4" s="1"/>
  <c r="D28" i="4" l="1"/>
  <c r="E28" i="4"/>
  <c r="F28" i="4" l="1"/>
  <c r="G28" i="4" s="1"/>
  <c r="D27" i="4"/>
  <c r="E27" i="4"/>
  <c r="L28" i="4" l="1"/>
  <c r="N28" i="4" s="1"/>
  <c r="O28" i="4" s="1"/>
  <c r="F27" i="4"/>
  <c r="G27" i="4" s="1"/>
  <c r="I7" i="4"/>
  <c r="J7" i="4" s="1"/>
  <c r="F7" i="4"/>
  <c r="G7" i="4" s="1"/>
  <c r="L27" i="4" l="1"/>
  <c r="N27" i="4" s="1"/>
  <c r="O27" i="4" s="1"/>
  <c r="L6" i="4"/>
  <c r="M6" i="4" s="1"/>
  <c r="I6" i="4"/>
  <c r="J6" i="4" s="1"/>
  <c r="F6" i="4"/>
  <c r="G6" i="4" s="1"/>
  <c r="D26" i="4" l="1"/>
  <c r="E26" i="4"/>
  <c r="F26" i="4" l="1"/>
  <c r="G26" i="4" s="1"/>
  <c r="M25" i="4"/>
  <c r="M35" i="4" s="1"/>
  <c r="L26" i="4" l="1"/>
  <c r="N26" i="4" s="1"/>
  <c r="O26" i="4" s="1"/>
  <c r="L5" i="4"/>
  <c r="L14" i="4" s="1"/>
  <c r="I5" i="4"/>
  <c r="I14" i="4" s="1"/>
  <c r="F5" i="4"/>
  <c r="F14" i="4" s="1"/>
  <c r="J5" i="4" l="1"/>
  <c r="J14" i="4" s="1"/>
  <c r="G5" i="4"/>
  <c r="G14" i="4" s="1"/>
  <c r="M5" i="4"/>
  <c r="M14" i="4" s="1"/>
  <c r="D25" i="4"/>
  <c r="E25" i="4"/>
  <c r="F25" i="4" l="1"/>
  <c r="G25" i="4" s="1"/>
  <c r="M19" i="4"/>
  <c r="L25" i="4" l="1"/>
  <c r="N25" i="4" s="1"/>
  <c r="O25" i="4" s="1"/>
  <c r="E24" i="4"/>
  <c r="D24" i="4"/>
  <c r="K22" i="4"/>
  <c r="K35" i="4" s="1"/>
  <c r="D23" i="4"/>
  <c r="E23" i="4"/>
  <c r="F24" i="4" l="1"/>
  <c r="L24" i="4" s="1"/>
  <c r="F23" i="4"/>
  <c r="G23" i="4" s="1"/>
  <c r="F34" i="4"/>
  <c r="E22" i="4"/>
  <c r="E35" i="4" s="1"/>
  <c r="D22" i="4"/>
  <c r="D35" i="4" s="1"/>
  <c r="G34" i="4" l="1"/>
  <c r="G24" i="4"/>
  <c r="N24" i="4" s="1"/>
  <c r="O24" i="4" s="1"/>
  <c r="L23" i="4"/>
  <c r="N23" i="4" s="1"/>
  <c r="O23" i="4" s="1"/>
  <c r="L34" i="4"/>
  <c r="F22" i="4"/>
  <c r="F35" i="4" s="1"/>
  <c r="G22" i="4" l="1"/>
  <c r="G35" i="4" s="1"/>
  <c r="L22" i="4"/>
  <c r="L35" i="4" s="1"/>
  <c r="N34" i="4"/>
  <c r="N22" i="4" l="1"/>
  <c r="N35" i="4" s="1"/>
  <c r="O34" i="4"/>
  <c r="O22" i="4" l="1"/>
  <c r="O35" i="4"/>
</calcChain>
</file>

<file path=xl/comments1.xml><?xml version="1.0" encoding="utf-8"?>
<comments xmlns="http://schemas.openxmlformats.org/spreadsheetml/2006/main">
  <authors>
    <author>User</author>
  </authors>
  <commentList>
    <comment ref="M2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лавочки 2шт -10000р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 01.02.2015г -300р</t>
        </r>
      </text>
    </comment>
  </commentList>
</comments>
</file>

<file path=xl/sharedStrings.xml><?xml version="1.0" encoding="utf-8"?>
<sst xmlns="http://schemas.openxmlformats.org/spreadsheetml/2006/main" count="59" uniqueCount="42">
  <si>
    <t xml:space="preserve">Остаток </t>
  </si>
  <si>
    <t xml:space="preserve">Поступило </t>
  </si>
  <si>
    <t>Площадь</t>
  </si>
  <si>
    <t xml:space="preserve">Кол-во </t>
  </si>
  <si>
    <t>квар.</t>
  </si>
  <si>
    <t>Расходы</t>
  </si>
  <si>
    <t>Содержание</t>
  </si>
  <si>
    <t>Ген. директор ООО "Георгиевск - ЖЭУ"                                            Никишина И.М.</t>
  </si>
  <si>
    <t>январь</t>
  </si>
  <si>
    <t>март</t>
  </si>
  <si>
    <t>содержание</t>
  </si>
  <si>
    <t>ремонт</t>
  </si>
  <si>
    <t>итого</t>
  </si>
  <si>
    <t>май</t>
  </si>
  <si>
    <t>июнь</t>
  </si>
  <si>
    <t>апрель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</si>
  <si>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</si>
  <si>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</si>
  <si>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</si>
  <si>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</si>
  <si>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</si>
  <si>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</si>
  <si>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</si>
  <si>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Учет доходов и расходов по Вехова 61 на 2015 год</t>
  </si>
  <si>
    <t>Ростелеком</t>
  </si>
  <si>
    <t>Доходы и расходы по воде и стокам</t>
  </si>
  <si>
    <t>Вода</t>
  </si>
  <si>
    <t>Стоки</t>
  </si>
  <si>
    <t>Вода ОДН</t>
  </si>
  <si>
    <t xml:space="preserve">начислено </t>
  </si>
  <si>
    <t xml:space="preserve">оплачено </t>
  </si>
  <si>
    <t>долг</t>
  </si>
  <si>
    <t>Итого</t>
  </si>
  <si>
    <t>Оплата банковских услуг и услуг ЕРКЦ</t>
  </si>
  <si>
    <t>Затраты по управлению</t>
  </si>
  <si>
    <t>Содержание придомовой территории</t>
  </si>
  <si>
    <t>Текущий ремонт</t>
  </si>
  <si>
    <t>аварийно-диспетчерское обслуживание</t>
  </si>
  <si>
    <t>Общие эксплутационные расходы</t>
  </si>
  <si>
    <t xml:space="preserve">апрель </t>
  </si>
  <si>
    <t>10000р</t>
  </si>
  <si>
    <t>лавочки 2шт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</si>
</sst>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2" fontId="0" fillId="0" borderId="0" xfId="0" applyNumberFormat="1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1" fontId="1" fillId="0" borderId="2" xfId="0" applyNumberFormat="1" applyFont="1" applyBorder="1"/>
    <xf numFmtId="2" fontId="1" fillId="0" borderId="2" xfId="0" applyNumberFormat="1" applyFont="1" applyBorder="1"/>
    <xf numFmtId="0" fontId="1" fillId="0" borderId="5" xfId="0" applyFont="1" applyBorder="1"/>
    <xf numFmtId="1" fontId="1" fillId="0" borderId="5" xfId="0" applyNumberFormat="1" applyFon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164" fontId="1" fillId="2" borderId="1" xfId="0" applyNumberFormat="1" applyFont="1" applyFill="1" applyBorder="1" applyAlignment="1"/>
    <xf numFmtId="164" fontId="1" fillId="3" borderId="1" xfId="0" applyNumberFormat="1" applyFont="1" applyFill="1" applyBorder="1" applyAlignment="1"/>
    <xf numFmtId="164" fontId="1" fillId="3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/>
    <xf numFmtId="2" fontId="1" fillId="0" borderId="4" xfId="0" applyNumberFormat="1" applyFont="1" applyBorder="1"/>
    <xf numFmtId="164" fontId="1" fillId="2" borderId="6" xfId="0" applyNumberFormat="1" applyFont="1" applyFill="1" applyBorder="1" applyAlignment="1"/>
    <xf numFmtId="2" fontId="1" fillId="4" borderId="7" xfId="0" applyNumberFormat="1" applyFont="1" applyFill="1" applyBorder="1"/>
    <xf numFmtId="0" fontId="0" fillId="4" borderId="1" xfId="0" applyFill="1" applyBorder="1"/>
    <xf numFmtId="164" fontId="1" fillId="4" borderId="1" xfId="0" applyNumberFormat="1" applyFont="1" applyFill="1" applyBorder="1"/>
    <xf numFmtId="2" fontId="1" fillId="4" borderId="1" xfId="0" applyNumberFormat="1" applyFont="1" applyFill="1" applyBorder="1"/>
    <xf numFmtId="2" fontId="0" fillId="0" borderId="0" xfId="0" applyNumberFormat="1" applyAlignment="1"/>
    <xf numFmtId="2" fontId="3" fillId="0" borderId="1" xfId="0" applyNumberFormat="1" applyFont="1" applyBorder="1"/>
    <xf numFmtId="4" fontId="0" fillId="0" borderId="0" xfId="0" applyNumberFormat="1"/>
    <xf numFmtId="0" fontId="1" fillId="7" borderId="1" xfId="0" applyFont="1" applyFill="1" applyBorder="1"/>
    <xf numFmtId="0" fontId="0" fillId="5" borderId="1" xfId="0" applyFill="1" applyBorder="1"/>
    <xf numFmtId="0" fontId="0" fillId="8" borderId="1" xfId="0" applyFill="1" applyBorder="1"/>
    <xf numFmtId="0" fontId="0" fillId="9" borderId="1" xfId="0" applyFill="1" applyBorder="1"/>
    <xf numFmtId="2" fontId="0" fillId="5" borderId="1" xfId="0" applyNumberFormat="1" applyFill="1" applyBorder="1"/>
    <xf numFmtId="2" fontId="0" fillId="8" borderId="1" xfId="0" applyNumberFormat="1" applyFill="1" applyBorder="1"/>
    <xf numFmtId="2" fontId="0" fillId="9" borderId="1" xfId="0" applyNumberFormat="1" applyFill="1" applyBorder="1"/>
    <xf numFmtId="2" fontId="0" fillId="6" borderId="1" xfId="0" applyNumberForma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86;&#1081;&#1082;&#1086;%201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</sheetNames>
    <sheetDataSet>
      <sheetData sheetId="0"/>
      <sheetData sheetId="1"/>
      <sheetData sheetId="2"/>
      <sheetData sheetId="3">
        <row r="13">
          <cell r="J13" t="str">
            <v>Проф. обходы и осмотры, разное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43"/>
  <sheetViews>
    <sheetView tabSelected="1" workbookViewId="0">
      <selection activeCell="F21" sqref="F21"/>
    </sheetView>
  </sheetViews>
  <sheetFormatPr defaultRowHeight="12.75" x14ac:dyDescent="0.2"/>
  <cols>
    <col min="1" max="1" width="5.28515625" customWidth="1"/>
    <col min="2" max="3" width="2.5703125" customWidth="1"/>
    <col min="8" max="8" width="9.7109375" customWidth="1"/>
    <col min="9" max="9" width="10.5703125" customWidth="1"/>
    <col min="14" max="14" width="11" customWidth="1"/>
    <col min="15" max="15" width="9.42578125" customWidth="1"/>
  </cols>
  <sheetData>
    <row r="1" spans="1:17" x14ac:dyDescent="0.2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2"/>
      <c r="O1" s="32"/>
      <c r="P1" s="32"/>
      <c r="Q1" s="32"/>
    </row>
    <row r="2" spans="1:17" x14ac:dyDescent="0.2">
      <c r="A2" s="38"/>
      <c r="B2" s="38"/>
      <c r="C2" s="38"/>
      <c r="D2" s="38"/>
      <c r="E2" s="44" t="s">
        <v>26</v>
      </c>
      <c r="F2" s="44"/>
      <c r="G2" s="44"/>
      <c r="H2" s="45" t="s">
        <v>27</v>
      </c>
      <c r="I2" s="45"/>
      <c r="J2" s="45"/>
      <c r="K2" s="46" t="s">
        <v>28</v>
      </c>
      <c r="L2" s="46"/>
      <c r="M2" s="46"/>
    </row>
    <row r="3" spans="1:17" x14ac:dyDescent="0.2">
      <c r="A3" s="38"/>
      <c r="B3" s="38"/>
      <c r="C3" s="38"/>
      <c r="D3" s="38"/>
      <c r="E3" s="25" t="s">
        <v>29</v>
      </c>
      <c r="F3" s="25" t="s">
        <v>30</v>
      </c>
      <c r="G3" s="25" t="s">
        <v>31</v>
      </c>
      <c r="H3" s="26" t="s">
        <v>29</v>
      </c>
      <c r="I3" s="26" t="s">
        <v>30</v>
      </c>
      <c r="J3" s="26" t="s">
        <v>31</v>
      </c>
      <c r="K3" s="27" t="s">
        <v>29</v>
      </c>
      <c r="L3" s="27" t="s">
        <v>30</v>
      </c>
      <c r="M3" s="27" t="s">
        <v>31</v>
      </c>
    </row>
    <row r="4" spans="1:17" x14ac:dyDescent="0.2">
      <c r="A4" s="39" t="s">
        <v>9</v>
      </c>
      <c r="B4" s="39"/>
      <c r="C4" s="39"/>
      <c r="D4" s="39"/>
      <c r="E4" s="28">
        <v>4011.28</v>
      </c>
      <c r="F4" s="28">
        <v>0</v>
      </c>
      <c r="G4" s="28">
        <f>E4-F4</f>
        <v>4011.28</v>
      </c>
      <c r="H4" s="29">
        <v>2108.4699999999998</v>
      </c>
      <c r="I4" s="29">
        <v>0</v>
      </c>
      <c r="J4" s="29">
        <f>H4-I4</f>
        <v>2108.4699999999998</v>
      </c>
      <c r="K4" s="30">
        <v>436.38</v>
      </c>
      <c r="L4" s="30">
        <v>0</v>
      </c>
      <c r="M4" s="30">
        <f>K4-L4</f>
        <v>436.38</v>
      </c>
    </row>
    <row r="5" spans="1:17" x14ac:dyDescent="0.2">
      <c r="A5" s="40" t="s">
        <v>15</v>
      </c>
      <c r="B5" s="40"/>
      <c r="C5" s="40"/>
      <c r="D5" s="41"/>
      <c r="E5" s="28">
        <v>5025.12</v>
      </c>
      <c r="F5" s="28">
        <f>1675.04+1322.4+440.8</f>
        <v>3438.2400000000002</v>
      </c>
      <c r="G5" s="28">
        <f t="shared" ref="G5:G13" si="0">E5-F5</f>
        <v>1586.8799999999997</v>
      </c>
      <c r="H5" s="29">
        <v>2641.38</v>
      </c>
      <c r="I5" s="29">
        <f>880.46+695.1+231.7</f>
        <v>1807.26</v>
      </c>
      <c r="J5" s="29">
        <f t="shared" ref="J5:J13" si="1">H5-I5</f>
        <v>834.12000000000012</v>
      </c>
      <c r="K5" s="30">
        <v>0</v>
      </c>
      <c r="L5" s="30">
        <f>223.04+112.75+16.31</f>
        <v>352.09999999999997</v>
      </c>
      <c r="M5" s="30">
        <f t="shared" ref="M5:M12" si="2">K5-L5</f>
        <v>-352.09999999999997</v>
      </c>
    </row>
    <row r="6" spans="1:17" x14ac:dyDescent="0.2">
      <c r="A6" s="40" t="s">
        <v>13</v>
      </c>
      <c r="B6" s="40"/>
      <c r="C6" s="40"/>
      <c r="D6" s="41"/>
      <c r="E6" s="28">
        <v>4804.72</v>
      </c>
      <c r="F6" s="28">
        <f>2027.68+2644.8</f>
        <v>4672.4800000000005</v>
      </c>
      <c r="G6" s="28">
        <f t="shared" si="0"/>
        <v>132.23999999999978</v>
      </c>
      <c r="H6" s="29">
        <v>2525.5300000000002</v>
      </c>
      <c r="I6" s="29">
        <f>1065.82+1390.2</f>
        <v>2456.02</v>
      </c>
      <c r="J6" s="29">
        <f t="shared" si="1"/>
        <v>69.510000000000218</v>
      </c>
      <c r="K6" s="30">
        <v>0</v>
      </c>
      <c r="L6" s="30">
        <f>55.98+62.79</f>
        <v>118.77</v>
      </c>
      <c r="M6" s="30">
        <f t="shared" si="2"/>
        <v>-118.77</v>
      </c>
    </row>
    <row r="7" spans="1:17" x14ac:dyDescent="0.2">
      <c r="A7" s="40" t="s">
        <v>14</v>
      </c>
      <c r="B7" s="40"/>
      <c r="C7" s="40"/>
      <c r="D7" s="41"/>
      <c r="E7" s="28">
        <v>5554.08</v>
      </c>
      <c r="F7" s="28">
        <f>3350.08+1542.8</f>
        <v>4892.88</v>
      </c>
      <c r="G7" s="28">
        <f t="shared" si="0"/>
        <v>661.19999999999982</v>
      </c>
      <c r="H7" s="29">
        <v>2919.42</v>
      </c>
      <c r="I7" s="29">
        <f>1760.92+810.95</f>
        <v>2571.87</v>
      </c>
      <c r="J7" s="29">
        <f t="shared" si="1"/>
        <v>347.55000000000018</v>
      </c>
      <c r="K7" s="30">
        <v>0</v>
      </c>
      <c r="L7" s="30">
        <v>12.34</v>
      </c>
      <c r="M7" s="30">
        <f t="shared" si="2"/>
        <v>-12.34</v>
      </c>
    </row>
    <row r="8" spans="1:17" x14ac:dyDescent="0.2">
      <c r="A8" s="40" t="s">
        <v>16</v>
      </c>
      <c r="B8" s="40"/>
      <c r="C8" s="40"/>
      <c r="D8" s="41"/>
      <c r="E8" s="28">
        <v>6787.74</v>
      </c>
      <c r="F8" s="28">
        <v>821.86</v>
      </c>
      <c r="G8" s="28">
        <f t="shared" si="0"/>
        <v>5965.88</v>
      </c>
      <c r="H8" s="29">
        <v>3537.69</v>
      </c>
      <c r="I8" s="29">
        <f>2356.43+1112.16</f>
        <v>3468.59</v>
      </c>
      <c r="J8" s="29">
        <f t="shared" si="1"/>
        <v>69.099999999999909</v>
      </c>
      <c r="K8" s="30">
        <v>0</v>
      </c>
      <c r="L8" s="30">
        <v>16.309999999999999</v>
      </c>
      <c r="M8" s="30">
        <f t="shared" si="2"/>
        <v>-16.309999999999999</v>
      </c>
    </row>
    <row r="9" spans="1:17" x14ac:dyDescent="0.2">
      <c r="A9" s="40" t="s">
        <v>17</v>
      </c>
      <c r="B9" s="40"/>
      <c r="C9" s="40"/>
      <c r="D9" s="41"/>
      <c r="E9" s="28">
        <v>6884.02</v>
      </c>
      <c r="F9" s="28">
        <f>4392.6+2021.88+821.86</f>
        <v>7236.34</v>
      </c>
      <c r="G9" s="28">
        <f t="shared" si="0"/>
        <v>-352.31999999999971</v>
      </c>
      <c r="H9" s="29">
        <v>3587.87</v>
      </c>
      <c r="I9" s="29">
        <f>2258.1+1053.78+430.5</f>
        <v>3742.38</v>
      </c>
      <c r="J9" s="29">
        <f t="shared" si="1"/>
        <v>-154.51000000000022</v>
      </c>
      <c r="K9" s="30">
        <v>0</v>
      </c>
      <c r="L9" s="30">
        <v>0</v>
      </c>
      <c r="M9" s="30">
        <f t="shared" si="2"/>
        <v>0</v>
      </c>
    </row>
    <row r="10" spans="1:17" x14ac:dyDescent="0.2">
      <c r="A10" s="40" t="s">
        <v>18</v>
      </c>
      <c r="B10" s="40"/>
      <c r="C10" s="40"/>
      <c r="D10" s="41"/>
      <c r="E10" s="28">
        <v>6306.34</v>
      </c>
      <c r="F10" s="28">
        <f>4344.81+2097.86</f>
        <v>6442.67</v>
      </c>
      <c r="G10" s="28">
        <f t="shared" si="0"/>
        <v>-136.32999999999993</v>
      </c>
      <c r="H10" s="29">
        <v>3286.79</v>
      </c>
      <c r="I10" s="29">
        <f>2295.73+1094.36</f>
        <v>3390.09</v>
      </c>
      <c r="J10" s="29">
        <f t="shared" si="1"/>
        <v>-103.30000000000018</v>
      </c>
      <c r="K10" s="30">
        <v>0</v>
      </c>
      <c r="L10" s="30">
        <v>0</v>
      </c>
      <c r="M10" s="30">
        <f t="shared" si="2"/>
        <v>0</v>
      </c>
    </row>
    <row r="11" spans="1:17" x14ac:dyDescent="0.2">
      <c r="A11" s="40" t="s">
        <v>19</v>
      </c>
      <c r="B11" s="40"/>
      <c r="C11" s="40"/>
      <c r="D11" s="41"/>
      <c r="E11" s="28">
        <v>1588.62</v>
      </c>
      <c r="F11" s="28">
        <f>3754.92+1492.34+453.56</f>
        <v>5700.8200000000006</v>
      </c>
      <c r="G11" s="28">
        <f t="shared" si="0"/>
        <v>-4112.2000000000007</v>
      </c>
      <c r="H11" s="29">
        <v>827.97</v>
      </c>
      <c r="I11" s="29">
        <f>1957.02+777.79+235.41</f>
        <v>2970.22</v>
      </c>
      <c r="J11" s="29">
        <f t="shared" si="1"/>
        <v>-2142.25</v>
      </c>
      <c r="K11" s="30">
        <v>0</v>
      </c>
      <c r="L11" s="30">
        <v>0</v>
      </c>
      <c r="M11" s="30">
        <f t="shared" si="2"/>
        <v>0</v>
      </c>
    </row>
    <row r="12" spans="1:17" x14ac:dyDescent="0.2">
      <c r="A12" s="40" t="s">
        <v>20</v>
      </c>
      <c r="B12" s="40"/>
      <c r="C12" s="40"/>
      <c r="D12" s="41"/>
      <c r="E12" s="28">
        <v>0</v>
      </c>
      <c r="F12" s="28">
        <f>1877.46+144.42</f>
        <v>2021.88</v>
      </c>
      <c r="G12" s="28">
        <f t="shared" si="0"/>
        <v>-2021.88</v>
      </c>
      <c r="H12" s="29">
        <v>0</v>
      </c>
      <c r="I12" s="29">
        <f>978.51+75.27</f>
        <v>1053.78</v>
      </c>
      <c r="J12" s="29">
        <f t="shared" si="1"/>
        <v>-1053.78</v>
      </c>
      <c r="K12" s="30">
        <v>0</v>
      </c>
      <c r="L12" s="30">
        <v>0</v>
      </c>
      <c r="M12" s="30">
        <f t="shared" si="2"/>
        <v>0</v>
      </c>
    </row>
    <row r="13" spans="1:17" x14ac:dyDescent="0.2">
      <c r="A13" s="40" t="s">
        <v>21</v>
      </c>
      <c r="B13" s="40"/>
      <c r="C13" s="40"/>
      <c r="D13" s="41"/>
      <c r="E13" s="28">
        <v>0</v>
      </c>
      <c r="F13" s="28">
        <v>1973.74</v>
      </c>
      <c r="G13" s="28">
        <f t="shared" si="0"/>
        <v>-1973.74</v>
      </c>
      <c r="H13" s="29">
        <v>0</v>
      </c>
      <c r="I13" s="29">
        <v>1028.69</v>
      </c>
      <c r="J13" s="29">
        <f t="shared" si="1"/>
        <v>-1028.69</v>
      </c>
      <c r="K13" s="30">
        <v>0</v>
      </c>
      <c r="L13" s="30">
        <v>0</v>
      </c>
      <c r="M13" s="30">
        <v>0</v>
      </c>
    </row>
    <row r="14" spans="1:17" x14ac:dyDescent="0.2">
      <c r="A14" s="40" t="s">
        <v>32</v>
      </c>
      <c r="B14" s="40"/>
      <c r="C14" s="40"/>
      <c r="D14" s="41"/>
      <c r="E14" s="31">
        <f t="shared" ref="E14:M14" si="3">SUM(E4:E13)</f>
        <v>40961.919999999991</v>
      </c>
      <c r="F14" s="31">
        <f t="shared" si="3"/>
        <v>37200.909999999996</v>
      </c>
      <c r="G14" s="31">
        <f t="shared" si="3"/>
        <v>3761.0099999999993</v>
      </c>
      <c r="H14" s="31">
        <f t="shared" si="3"/>
        <v>21435.120000000003</v>
      </c>
      <c r="I14" s="31">
        <f t="shared" si="3"/>
        <v>22488.899999999998</v>
      </c>
      <c r="J14" s="31">
        <f t="shared" si="3"/>
        <v>-1053.78</v>
      </c>
      <c r="K14" s="31">
        <f t="shared" si="3"/>
        <v>436.38</v>
      </c>
      <c r="L14" s="31">
        <f t="shared" si="3"/>
        <v>499.51999999999992</v>
      </c>
      <c r="M14" s="31">
        <f t="shared" si="3"/>
        <v>-63.139999999999972</v>
      </c>
    </row>
    <row r="18" spans="1:15" x14ac:dyDescent="0.2">
      <c r="A18" s="33" t="s">
        <v>23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2.75" customHeight="1" x14ac:dyDescent="0.2">
      <c r="A19" s="3"/>
      <c r="B19" s="4" t="s">
        <v>2</v>
      </c>
      <c r="C19" s="5" t="s">
        <v>3</v>
      </c>
      <c r="D19" s="34" t="s">
        <v>1</v>
      </c>
      <c r="E19" s="35"/>
      <c r="F19" s="36"/>
      <c r="G19" s="53" t="s">
        <v>33</v>
      </c>
      <c r="H19" s="53" t="s">
        <v>34</v>
      </c>
      <c r="I19" s="53" t="s">
        <v>35</v>
      </c>
      <c r="J19" s="53" t="s">
        <v>36</v>
      </c>
      <c r="K19" s="42" t="s">
        <v>6</v>
      </c>
      <c r="L19" s="43"/>
      <c r="M19" s="50" t="str">
        <f>'[1]2015'!$J$13</f>
        <v>Проф. обходы и осмотры, разное</v>
      </c>
      <c r="N19" s="47" t="s">
        <v>5</v>
      </c>
      <c r="O19" s="47" t="s">
        <v>0</v>
      </c>
    </row>
    <row r="20" spans="1:15" ht="13.5" customHeight="1" thickBot="1" x14ac:dyDescent="0.25">
      <c r="A20" s="3"/>
      <c r="B20" s="7"/>
      <c r="C20" s="8" t="s">
        <v>4</v>
      </c>
      <c r="D20" s="9" t="s">
        <v>10</v>
      </c>
      <c r="E20" s="9" t="s">
        <v>11</v>
      </c>
      <c r="F20" s="6" t="s">
        <v>12</v>
      </c>
      <c r="G20" s="55"/>
      <c r="H20" s="55"/>
      <c r="I20" s="55"/>
      <c r="J20" s="55"/>
      <c r="K20" s="53" t="s">
        <v>37</v>
      </c>
      <c r="L20" s="53" t="s">
        <v>38</v>
      </c>
      <c r="M20" s="51"/>
      <c r="N20" s="48"/>
      <c r="O20" s="48"/>
    </row>
    <row r="21" spans="1:15" ht="47.25" customHeight="1" thickBot="1" x14ac:dyDescent="0.25">
      <c r="A21" s="3"/>
      <c r="B21" s="7">
        <v>1073.3</v>
      </c>
      <c r="C21" s="8"/>
      <c r="D21" s="9"/>
      <c r="E21" s="15"/>
      <c r="F21" s="17">
        <v>107841.96</v>
      </c>
      <c r="G21" s="54"/>
      <c r="H21" s="54"/>
      <c r="I21" s="54"/>
      <c r="J21" s="54"/>
      <c r="K21" s="54"/>
      <c r="L21" s="54"/>
      <c r="M21" s="52"/>
      <c r="N21" s="49"/>
      <c r="O21" s="49"/>
    </row>
    <row r="22" spans="1:15" x14ac:dyDescent="0.2">
      <c r="A22" s="2" t="s">
        <v>8</v>
      </c>
      <c r="B22" s="2"/>
      <c r="C22" s="10"/>
      <c r="D22" s="11">
        <f>4317.52+1111.8</f>
        <v>5429.3200000000006</v>
      </c>
      <c r="E22" s="11">
        <f>4318.8+1111.8</f>
        <v>5430.6</v>
      </c>
      <c r="F22" s="16">
        <f t="shared" ref="F22:F34" si="4">SUM(D22:E22)</f>
        <v>10859.920000000002</v>
      </c>
      <c r="G22" s="12">
        <f t="shared" ref="G22:G33" si="5">SUM(F22*0.09)</f>
        <v>977.39280000000008</v>
      </c>
      <c r="H22" s="12">
        <v>0</v>
      </c>
      <c r="I22" s="13">
        <v>2404.7600000000002</v>
      </c>
      <c r="J22" s="14">
        <v>0</v>
      </c>
      <c r="K22" s="14">
        <f>B21*1.4</f>
        <v>1502.62</v>
      </c>
      <c r="L22" s="14">
        <f t="shared" ref="L22:L34" si="6">SUM(F22*0.15)</f>
        <v>1628.9880000000003</v>
      </c>
      <c r="M22" s="14">
        <v>159.84</v>
      </c>
      <c r="N22" s="14">
        <f t="shared" ref="N22:N34" si="7">SUM(G22:M22)</f>
        <v>6673.6008000000011</v>
      </c>
      <c r="O22" s="9">
        <f t="shared" ref="O22:O34" si="8">F22-N22</f>
        <v>4186.3192000000008</v>
      </c>
    </row>
    <row r="23" spans="1:15" x14ac:dyDescent="0.2">
      <c r="A23" s="2" t="s">
        <v>22</v>
      </c>
      <c r="B23" s="2"/>
      <c r="C23" s="10"/>
      <c r="D23" s="11">
        <f>4007.4+1489.2</f>
        <v>5496.6</v>
      </c>
      <c r="E23" s="11">
        <f>4007.4+1489</f>
        <v>5496.4</v>
      </c>
      <c r="F23" s="16">
        <f t="shared" si="4"/>
        <v>10993</v>
      </c>
      <c r="G23" s="12">
        <f t="shared" si="5"/>
        <v>989.37</v>
      </c>
      <c r="H23" s="12">
        <v>0</v>
      </c>
      <c r="I23" s="13">
        <v>2404.7600000000002</v>
      </c>
      <c r="J23" s="14">
        <v>376</v>
      </c>
      <c r="K23" s="14">
        <v>1502.62</v>
      </c>
      <c r="L23" s="14">
        <f t="shared" si="6"/>
        <v>1648.95</v>
      </c>
      <c r="M23" s="14">
        <v>159.84</v>
      </c>
      <c r="N23" s="14">
        <f t="shared" si="7"/>
        <v>7081.54</v>
      </c>
      <c r="O23" s="9">
        <f t="shared" si="8"/>
        <v>3911.46</v>
      </c>
    </row>
    <row r="24" spans="1:15" x14ac:dyDescent="0.2">
      <c r="A24" s="2" t="s">
        <v>9</v>
      </c>
      <c r="B24" s="2"/>
      <c r="C24" s="10"/>
      <c r="D24" s="11">
        <f>5652+1352.4</f>
        <v>7004.4</v>
      </c>
      <c r="E24" s="11">
        <f>5652.6+1352.4</f>
        <v>7005</v>
      </c>
      <c r="F24" s="16">
        <f t="shared" si="4"/>
        <v>14009.4</v>
      </c>
      <c r="G24" s="12">
        <f t="shared" si="5"/>
        <v>1260.846</v>
      </c>
      <c r="H24" s="12">
        <v>1073.3</v>
      </c>
      <c r="I24" s="13">
        <v>2404.7600000000002</v>
      </c>
      <c r="J24" s="14">
        <v>0</v>
      </c>
      <c r="K24" s="14">
        <v>1502.62</v>
      </c>
      <c r="L24" s="14">
        <f t="shared" si="6"/>
        <v>2101.41</v>
      </c>
      <c r="M24" s="14">
        <v>159.84</v>
      </c>
      <c r="N24" s="14">
        <f t="shared" si="7"/>
        <v>8502.7759999999998</v>
      </c>
      <c r="O24" s="9">
        <f t="shared" si="8"/>
        <v>5506.6239999999998</v>
      </c>
    </row>
    <row r="25" spans="1:15" x14ac:dyDescent="0.2">
      <c r="A25" s="2" t="s">
        <v>15</v>
      </c>
      <c r="B25" s="2"/>
      <c r="C25" s="10"/>
      <c r="D25" s="11">
        <f>4531+1658.4</f>
        <v>6189.4</v>
      </c>
      <c r="E25" s="11">
        <f>4681.05+1658.7</f>
        <v>6339.75</v>
      </c>
      <c r="F25" s="16">
        <f t="shared" si="4"/>
        <v>12529.15</v>
      </c>
      <c r="G25" s="12">
        <f t="shared" si="5"/>
        <v>1127.6234999999999</v>
      </c>
      <c r="H25" s="12">
        <v>1073.3</v>
      </c>
      <c r="I25" s="13">
        <v>2404.7600000000002</v>
      </c>
      <c r="J25" s="14">
        <v>0</v>
      </c>
      <c r="K25" s="14">
        <v>1502.62</v>
      </c>
      <c r="L25" s="14">
        <f t="shared" si="6"/>
        <v>1879.3724999999999</v>
      </c>
      <c r="M25" s="14">
        <f>1132+10000</f>
        <v>11132</v>
      </c>
      <c r="N25" s="14">
        <f t="shared" si="7"/>
        <v>19119.675999999999</v>
      </c>
      <c r="O25" s="9">
        <f t="shared" si="8"/>
        <v>-6590.5259999999998</v>
      </c>
    </row>
    <row r="26" spans="1:15" x14ac:dyDescent="0.2">
      <c r="A26" s="2" t="s">
        <v>13</v>
      </c>
      <c r="B26" s="2"/>
      <c r="C26" s="10"/>
      <c r="D26" s="11">
        <f>3979.8+1835.66</f>
        <v>5815.46</v>
      </c>
      <c r="E26" s="11">
        <f>3979.75+1834.8</f>
        <v>5814.55</v>
      </c>
      <c r="F26" s="16">
        <f t="shared" si="4"/>
        <v>11630.01</v>
      </c>
      <c r="G26" s="12">
        <f t="shared" si="5"/>
        <v>1046.7009</v>
      </c>
      <c r="H26" s="12">
        <v>1073.3</v>
      </c>
      <c r="I26" s="13">
        <v>2404.7600000000002</v>
      </c>
      <c r="J26" s="14">
        <v>514</v>
      </c>
      <c r="K26" s="14">
        <v>1502.62</v>
      </c>
      <c r="L26" s="14">
        <f t="shared" si="6"/>
        <v>1744.5015000000001</v>
      </c>
      <c r="M26" s="14">
        <v>1132</v>
      </c>
      <c r="N26" s="14">
        <f t="shared" si="7"/>
        <v>9417.8824000000004</v>
      </c>
      <c r="O26" s="9">
        <f t="shared" si="8"/>
        <v>2212.1275999999998</v>
      </c>
    </row>
    <row r="27" spans="1:15" x14ac:dyDescent="0.2">
      <c r="A27" s="2" t="s">
        <v>14</v>
      </c>
      <c r="B27" s="2"/>
      <c r="C27" s="10"/>
      <c r="D27" s="11">
        <f>4447.8+1778.55</f>
        <v>6226.35</v>
      </c>
      <c r="E27" s="11">
        <f>4447.8+1777.8</f>
        <v>6225.6</v>
      </c>
      <c r="F27" s="16">
        <f t="shared" si="4"/>
        <v>12451.95</v>
      </c>
      <c r="G27" s="12">
        <f t="shared" si="5"/>
        <v>1120.6755000000001</v>
      </c>
      <c r="H27" s="12">
        <v>1073.3</v>
      </c>
      <c r="I27" s="13">
        <v>2404.7600000000002</v>
      </c>
      <c r="J27" s="14">
        <v>0</v>
      </c>
      <c r="K27" s="14">
        <v>1502.62</v>
      </c>
      <c r="L27" s="14">
        <f t="shared" si="6"/>
        <v>1867.7925</v>
      </c>
      <c r="M27" s="14">
        <v>1132</v>
      </c>
      <c r="N27" s="14">
        <f t="shared" si="7"/>
        <v>9101.148000000001</v>
      </c>
      <c r="O27" s="9">
        <f t="shared" si="8"/>
        <v>3350.8019999999997</v>
      </c>
    </row>
    <row r="28" spans="1:15" x14ac:dyDescent="0.2">
      <c r="A28" s="2" t="s">
        <v>16</v>
      </c>
      <c r="B28" s="2"/>
      <c r="C28" s="10"/>
      <c r="D28" s="11">
        <f>5575.48+1657.41</f>
        <v>7232.8899999999994</v>
      </c>
      <c r="E28" s="11">
        <f>5425.4+1658.4</f>
        <v>7083.7999999999993</v>
      </c>
      <c r="F28" s="16">
        <f t="shared" si="4"/>
        <v>14316.689999999999</v>
      </c>
      <c r="G28" s="12">
        <f t="shared" si="5"/>
        <v>1288.5020999999999</v>
      </c>
      <c r="H28" s="12">
        <v>1073.3</v>
      </c>
      <c r="I28" s="13">
        <v>2404.7600000000002</v>
      </c>
      <c r="J28" s="14">
        <v>2480</v>
      </c>
      <c r="K28" s="14">
        <v>1502.62</v>
      </c>
      <c r="L28" s="14">
        <f t="shared" si="6"/>
        <v>2147.5034999999998</v>
      </c>
      <c r="M28" s="14">
        <v>1132</v>
      </c>
      <c r="N28" s="14">
        <f t="shared" si="7"/>
        <v>12028.685600000001</v>
      </c>
      <c r="O28" s="9">
        <f t="shared" si="8"/>
        <v>2288.004399999998</v>
      </c>
    </row>
    <row r="29" spans="1:15" x14ac:dyDescent="0.2">
      <c r="A29" s="2" t="s">
        <v>17</v>
      </c>
      <c r="B29" s="2"/>
      <c r="C29" s="10"/>
      <c r="D29" s="11">
        <f>3536.4+1725</f>
        <v>5261.4</v>
      </c>
      <c r="E29" s="11">
        <f>3536.4+1725</f>
        <v>5261.4</v>
      </c>
      <c r="F29" s="16">
        <f t="shared" si="4"/>
        <v>10522.8</v>
      </c>
      <c r="G29" s="12">
        <f t="shared" si="5"/>
        <v>947.05199999999991</v>
      </c>
      <c r="H29" s="12">
        <v>0</v>
      </c>
      <c r="I29" s="13">
        <v>2404.7600000000002</v>
      </c>
      <c r="J29" s="14">
        <v>0</v>
      </c>
      <c r="K29" s="14">
        <v>1502.62</v>
      </c>
      <c r="L29" s="14">
        <f t="shared" si="6"/>
        <v>1578.4199999999998</v>
      </c>
      <c r="M29" s="14">
        <v>1132</v>
      </c>
      <c r="N29" s="14">
        <f t="shared" si="7"/>
        <v>7564.8519999999999</v>
      </c>
      <c r="O29" s="9">
        <f t="shared" si="8"/>
        <v>2957.9479999999994</v>
      </c>
    </row>
    <row r="30" spans="1:15" x14ac:dyDescent="0.2">
      <c r="A30" s="2" t="s">
        <v>18</v>
      </c>
      <c r="B30" s="2"/>
      <c r="C30" s="10"/>
      <c r="D30" s="11">
        <f>4400.9+2451.6</f>
        <v>6852.5</v>
      </c>
      <c r="E30" s="11">
        <f>4401.6+2451.6</f>
        <v>6853.2000000000007</v>
      </c>
      <c r="F30" s="16">
        <f t="shared" si="4"/>
        <v>13705.7</v>
      </c>
      <c r="G30" s="12">
        <f t="shared" si="5"/>
        <v>1233.5129999999999</v>
      </c>
      <c r="H30" s="12">
        <v>0</v>
      </c>
      <c r="I30" s="13">
        <v>2404.7600000000002</v>
      </c>
      <c r="J30" s="14">
        <f>5886+551</f>
        <v>6437</v>
      </c>
      <c r="K30" s="14">
        <v>1502.62</v>
      </c>
      <c r="L30" s="14">
        <f t="shared" si="6"/>
        <v>2055.855</v>
      </c>
      <c r="M30" s="14">
        <v>1491.84</v>
      </c>
      <c r="N30" s="14">
        <f t="shared" si="7"/>
        <v>15125.588</v>
      </c>
      <c r="O30" s="9">
        <f t="shared" si="8"/>
        <v>-1419.887999999999</v>
      </c>
    </row>
    <row r="31" spans="1:15" x14ac:dyDescent="0.2">
      <c r="A31" s="2" t="s">
        <v>19</v>
      </c>
      <c r="B31" s="2"/>
      <c r="C31" s="10"/>
      <c r="D31" s="11">
        <f>3819+2244</f>
        <v>6063</v>
      </c>
      <c r="E31" s="11">
        <f>3819+2244</f>
        <v>6063</v>
      </c>
      <c r="F31" s="16">
        <f t="shared" si="4"/>
        <v>12126</v>
      </c>
      <c r="G31" s="12">
        <f t="shared" si="5"/>
        <v>1091.3399999999999</v>
      </c>
      <c r="H31" s="12">
        <v>0</v>
      </c>
      <c r="I31" s="13">
        <v>2404.7600000000002</v>
      </c>
      <c r="J31" s="14">
        <v>0</v>
      </c>
      <c r="K31" s="14">
        <v>1502.62</v>
      </c>
      <c r="L31" s="14">
        <f t="shared" si="6"/>
        <v>1818.8999999999999</v>
      </c>
      <c r="M31" s="14">
        <v>1491.84</v>
      </c>
      <c r="N31" s="14">
        <f t="shared" si="7"/>
        <v>8309.4599999999991</v>
      </c>
      <c r="O31" s="9">
        <f t="shared" si="8"/>
        <v>3816.5400000000009</v>
      </c>
    </row>
    <row r="32" spans="1:15" x14ac:dyDescent="0.2">
      <c r="A32" s="2" t="s">
        <v>20</v>
      </c>
      <c r="B32" s="2"/>
      <c r="C32" s="10"/>
      <c r="D32" s="11">
        <f>4246.8+1231.2</f>
        <v>5478</v>
      </c>
      <c r="E32" s="11">
        <f>4246.8+1231.2</f>
        <v>5478</v>
      </c>
      <c r="F32" s="16">
        <f t="shared" si="4"/>
        <v>10956</v>
      </c>
      <c r="G32" s="12">
        <f t="shared" si="5"/>
        <v>986.04</v>
      </c>
      <c r="H32" s="12">
        <v>0</v>
      </c>
      <c r="I32" s="13">
        <v>2404.7600000000002</v>
      </c>
      <c r="J32" s="14">
        <v>0</v>
      </c>
      <c r="K32" s="14">
        <v>1502.62</v>
      </c>
      <c r="L32" s="14">
        <f t="shared" si="6"/>
        <v>1643.3999999999999</v>
      </c>
      <c r="M32" s="14">
        <v>2664</v>
      </c>
      <c r="N32" s="14">
        <f t="shared" si="7"/>
        <v>9200.82</v>
      </c>
      <c r="O32" s="9">
        <f t="shared" si="8"/>
        <v>1755.1800000000003</v>
      </c>
    </row>
    <row r="33" spans="1:15" x14ac:dyDescent="0.2">
      <c r="A33" s="2" t="s">
        <v>21</v>
      </c>
      <c r="B33" s="2"/>
      <c r="C33" s="10"/>
      <c r="D33" s="11">
        <f>5926.2+924.6</f>
        <v>6850.8</v>
      </c>
      <c r="E33" s="11">
        <f>5926.2+924.6</f>
        <v>6850.8</v>
      </c>
      <c r="F33" s="16">
        <f t="shared" si="4"/>
        <v>13701.6</v>
      </c>
      <c r="G33" s="12">
        <f t="shared" si="5"/>
        <v>1233.144</v>
      </c>
      <c r="H33" s="12">
        <v>0</v>
      </c>
      <c r="I33" s="13">
        <v>2404.7600000000002</v>
      </c>
      <c r="J33" s="14">
        <v>0</v>
      </c>
      <c r="K33" s="14">
        <v>1502.62</v>
      </c>
      <c r="L33" s="14">
        <f t="shared" si="6"/>
        <v>2055.2399999999998</v>
      </c>
      <c r="M33" s="14">
        <v>2664</v>
      </c>
      <c r="N33" s="14">
        <f t="shared" si="7"/>
        <v>9859.7639999999992</v>
      </c>
      <c r="O33" s="9">
        <f t="shared" si="8"/>
        <v>3841.8360000000011</v>
      </c>
    </row>
    <row r="34" spans="1:15" x14ac:dyDescent="0.2">
      <c r="A34" s="24" t="s">
        <v>24</v>
      </c>
      <c r="B34" s="24"/>
      <c r="C34" s="24"/>
      <c r="D34" s="11">
        <f>600+900+900+900</f>
        <v>3300</v>
      </c>
      <c r="E34" s="11">
        <v>0</v>
      </c>
      <c r="F34" s="16">
        <f t="shared" si="4"/>
        <v>3300</v>
      </c>
      <c r="G34" s="12">
        <f>SUM(F34*0.06)</f>
        <v>198</v>
      </c>
      <c r="H34" s="12">
        <v>0</v>
      </c>
      <c r="I34" s="13">
        <v>0</v>
      </c>
      <c r="J34" s="14">
        <v>0</v>
      </c>
      <c r="K34" s="14">
        <v>0</v>
      </c>
      <c r="L34" s="14">
        <f t="shared" si="6"/>
        <v>495</v>
      </c>
      <c r="M34" s="14">
        <v>0</v>
      </c>
      <c r="N34" s="14">
        <f t="shared" si="7"/>
        <v>693</v>
      </c>
      <c r="O34" s="9">
        <f t="shared" si="8"/>
        <v>2607</v>
      </c>
    </row>
    <row r="35" spans="1:15" x14ac:dyDescent="0.2">
      <c r="A35" s="18" t="s">
        <v>12</v>
      </c>
      <c r="B35" s="18"/>
      <c r="C35" s="18"/>
      <c r="D35" s="19">
        <f>SUM(D22:D34)</f>
        <v>77200.12000000001</v>
      </c>
      <c r="E35" s="19">
        <f>SUM(E22:E34)</f>
        <v>73902.100000000006</v>
      </c>
      <c r="F35" s="20">
        <f>SUM(F21:F34)</f>
        <v>258944.18000000002</v>
      </c>
      <c r="G35" s="19">
        <f t="shared" ref="G35:N35" si="9">SUM(G22:G34)</f>
        <v>13500.199800000002</v>
      </c>
      <c r="H35" s="19">
        <f t="shared" si="9"/>
        <v>5366.5</v>
      </c>
      <c r="I35" s="19">
        <f t="shared" si="9"/>
        <v>28857.12000000001</v>
      </c>
      <c r="J35" s="19">
        <f t="shared" si="9"/>
        <v>9807</v>
      </c>
      <c r="K35" s="19">
        <f t="shared" si="9"/>
        <v>18031.439999999995</v>
      </c>
      <c r="L35" s="19">
        <f t="shared" si="9"/>
        <v>22665.333000000006</v>
      </c>
      <c r="M35" s="19">
        <f t="shared" si="9"/>
        <v>24451.200000000001</v>
      </c>
      <c r="N35" s="19">
        <f t="shared" si="9"/>
        <v>122678.7928</v>
      </c>
      <c r="O35" s="22">
        <f>F35-N35</f>
        <v>136265.38720000003</v>
      </c>
    </row>
    <row r="37" spans="1:15" x14ac:dyDescent="0.2">
      <c r="D37" t="s">
        <v>39</v>
      </c>
      <c r="E37" t="s">
        <v>40</v>
      </c>
      <c r="F37" t="s">
        <v>41</v>
      </c>
    </row>
    <row r="40" spans="1:15" x14ac:dyDescent="0.2">
      <c r="F40" s="23"/>
    </row>
    <row r="42" spans="1:15" x14ac:dyDescent="0.2">
      <c r="E42" s="21" t="s">
        <v>7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">
      <c r="N43" s="1"/>
    </row>
  </sheetData>
  <mergeCells count="29">
    <mergeCell ref="O19:O21"/>
    <mergeCell ref="M19:M21"/>
    <mergeCell ref="N19:N21"/>
    <mergeCell ref="K20:K21"/>
    <mergeCell ref="L20:L21"/>
    <mergeCell ref="G19:G21"/>
    <mergeCell ref="H19:H21"/>
    <mergeCell ref="I19:I21"/>
    <mergeCell ref="J19:J21"/>
    <mergeCell ref="A9:D9"/>
    <mergeCell ref="A10:D10"/>
    <mergeCell ref="A2:D2"/>
    <mergeCell ref="E2:G2"/>
    <mergeCell ref="H2:J2"/>
    <mergeCell ref="K2:M2"/>
    <mergeCell ref="A8:D8"/>
    <mergeCell ref="A11:D11"/>
    <mergeCell ref="A12:D12"/>
    <mergeCell ref="A13:D13"/>
    <mergeCell ref="A1:M1"/>
    <mergeCell ref="A3:D3"/>
    <mergeCell ref="A4:D4"/>
    <mergeCell ref="A14:D14"/>
    <mergeCell ref="A5:D5"/>
    <mergeCell ref="A6:D6"/>
    <mergeCell ref="A7:D7"/>
    <mergeCell ref="A18:O18"/>
    <mergeCell ref="D19:F19"/>
    <mergeCell ref="K19:L19"/>
  </mergeCells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2015-07-09T10:39:24Z</cp:lastPrinted>
  <dcterms:created xsi:type="dcterms:W3CDTF">2007-02-04T12:22:59Z</dcterms:created>
  <dcterms:modified xsi:type="dcterms:W3CDTF">2016-02-03T04:25:53Z</dcterms:modified>
</cp:coreProperties>
</file>