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445" activeTab="0"/>
  </bookViews>
  <sheets>
    <sheet name="2015" sheetId="1" r:id="rId1"/>
  </sheets>
  <definedNames>
    <definedName name="_xlnm.Print_Area" localSheetId="0">'2015'!$A$1:$P$55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4500р-уборка подвалов</t>
        </r>
      </text>
    </commen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2938,50р-вывоз мусора</t>
        </r>
      </text>
    </comment>
    <comment ref="M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3000р-спил деревьев</t>
        </r>
      </text>
    </comment>
    <comment ref="M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3918р-вывоз мусора</t>
        </r>
      </text>
    </comment>
    <comment ref="M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1570,50р-дератизация</t>
        </r>
      </text>
    </comment>
    <comment ref="M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7500р-дезинсекция
14500р-поверка тепловычислителя</t>
        </r>
      </text>
    </comment>
    <comment ref="K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без аварийного обслуживания</t>
        </r>
      </text>
    </comment>
    <comment ref="M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1571р-дератизация</t>
        </r>
      </text>
    </comment>
    <comment ref="M3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ремонт жел.двери в подъезде-1000р</t>
        </r>
      </text>
    </comment>
  </commentList>
</comments>
</file>

<file path=xl/sharedStrings.xml><?xml version="1.0" encoding="utf-8"?>
<sst xmlns="http://schemas.openxmlformats.org/spreadsheetml/2006/main" count="84" uniqueCount="58">
  <si>
    <t>Площадь</t>
  </si>
  <si>
    <t xml:space="preserve">Кол-во </t>
  </si>
  <si>
    <t xml:space="preserve">Поступило </t>
  </si>
  <si>
    <t>Содержание</t>
  </si>
  <si>
    <t>Расходы</t>
  </si>
  <si>
    <t xml:space="preserve">Остаток </t>
  </si>
  <si>
    <t>квар.</t>
  </si>
  <si>
    <t>содержание</t>
  </si>
  <si>
    <t>ремонт</t>
  </si>
  <si>
    <t>итого</t>
  </si>
  <si>
    <t>май</t>
  </si>
  <si>
    <t>июнь</t>
  </si>
  <si>
    <t>июль</t>
  </si>
  <si>
    <t>март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</si>
  <si>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</si>
  <si>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</si>
  <si>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</si>
  <si>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</si>
  <si>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</si>
  <si>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</si>
  <si>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</si>
  <si>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</si>
  <si>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Ген. директор ООО "Георгиевск - ЖЭУ"                                            Никишина И.М.</t>
  </si>
  <si>
    <t>дезинсекция</t>
  </si>
  <si>
    <t>ростелеком</t>
  </si>
  <si>
    <t>Учет доходов и расходов по Вехова 67/1 на 2015 год</t>
  </si>
  <si>
    <t>4500р</t>
  </si>
  <si>
    <t>уборка подвалов</t>
  </si>
  <si>
    <t>2938,50р</t>
  </si>
  <si>
    <t>вывоз мусора</t>
  </si>
  <si>
    <t>Доходы и расходы по воде и стокам</t>
  </si>
  <si>
    <t>Вода</t>
  </si>
  <si>
    <t>Стоки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</si>
  <si>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</si>
  <si>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</si>
  <si>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</si>
  <si>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</si>
  <si>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</si>
  <si>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</si>
  <si>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</si>
  <si>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</si>
  <si>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</si>
  <si>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</si>
  <si>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Обслуживание приборов учета</t>
  </si>
  <si>
    <t>Проф. обходы и осмотры, разное</t>
  </si>
  <si>
    <t>Общие эксплутационные расходы</t>
  </si>
  <si>
    <t>3000р</t>
  </si>
  <si>
    <t>спил деревьев</t>
  </si>
  <si>
    <t>3918р</t>
  </si>
  <si>
    <t>1570,50р</t>
  </si>
  <si>
    <t>дератизатия</t>
  </si>
  <si>
    <t>7500р</t>
  </si>
  <si>
    <t>14500р</t>
  </si>
  <si>
    <t>поверка тепловычислителя</t>
  </si>
  <si>
    <t>1571р</t>
  </si>
  <si>
    <t>дератизация</t>
  </si>
  <si>
    <t>1000р</t>
  </si>
  <si>
    <t>ремонт железной двери в подъезде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</si>
</sst>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"/>
    <numFmt numFmtId="167" formatCode="0.0"/>
  </numFmts>
  <fonts count="43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0" xfId="0" applyFill="1" applyBorder="1" applyAlignment="1">
      <alignment/>
    </xf>
    <xf numFmtId="0" fontId="3" fillId="37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4" fontId="0" fillId="37" borderId="10" xfId="0" applyNumberFormat="1" applyFont="1" applyFill="1" applyBorder="1" applyAlignment="1">
      <alignment/>
    </xf>
    <xf numFmtId="17" fontId="0" fillId="12" borderId="10" xfId="0" applyNumberFormat="1" applyFill="1" applyBorder="1" applyAlignment="1">
      <alignment/>
    </xf>
    <xf numFmtId="4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/>
    </xf>
    <xf numFmtId="2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55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4.25390625" style="0" customWidth="1"/>
    <col min="2" max="3" width="2.375" style="0" customWidth="1"/>
    <col min="4" max="4" width="10.125" style="0" customWidth="1"/>
    <col min="6" max="6" width="9.875" style="0" customWidth="1"/>
    <col min="9" max="9" width="9.875" style="0" customWidth="1"/>
    <col min="10" max="10" width="10.625" style="0" customWidth="1"/>
    <col min="13" max="13" width="9.625" style="0" customWidth="1"/>
    <col min="15" max="15" width="10.25390625" style="0" customWidth="1"/>
    <col min="16" max="16" width="11.00390625" style="0" customWidth="1"/>
  </cols>
  <sheetData>
    <row r="2" spans="1:17" ht="12.75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4"/>
      <c r="O2" s="34"/>
      <c r="P2" s="34"/>
      <c r="Q2" s="34"/>
    </row>
    <row r="3" spans="1:13" ht="12.75">
      <c r="A3" s="36"/>
      <c r="B3" s="36"/>
      <c r="C3" s="36"/>
      <c r="D3" s="36"/>
      <c r="E3" s="54" t="s">
        <v>31</v>
      </c>
      <c r="F3" s="54"/>
      <c r="G3" s="54"/>
      <c r="H3" s="46" t="s">
        <v>32</v>
      </c>
      <c r="I3" s="46"/>
      <c r="J3" s="46"/>
      <c r="K3" s="58" t="s">
        <v>33</v>
      </c>
      <c r="L3" s="58"/>
      <c r="M3" s="58"/>
    </row>
    <row r="4" spans="1:13" ht="12.75">
      <c r="A4" s="36"/>
      <c r="B4" s="36"/>
      <c r="C4" s="36"/>
      <c r="D4" s="36"/>
      <c r="E4" s="27" t="s">
        <v>34</v>
      </c>
      <c r="F4" s="27" t="s">
        <v>35</v>
      </c>
      <c r="G4" s="27" t="s">
        <v>36</v>
      </c>
      <c r="H4" s="28" t="s">
        <v>34</v>
      </c>
      <c r="I4" s="28" t="s">
        <v>35</v>
      </c>
      <c r="J4" s="28" t="s">
        <v>36</v>
      </c>
      <c r="K4" s="29" t="s">
        <v>34</v>
      </c>
      <c r="L4" s="29" t="s">
        <v>35</v>
      </c>
      <c r="M4" s="29" t="s">
        <v>36</v>
      </c>
    </row>
    <row r="5" spans="1:13" ht="12.75">
      <c r="A5" s="45" t="s">
        <v>13</v>
      </c>
      <c r="B5" s="45"/>
      <c r="C5" s="45"/>
      <c r="D5" s="45"/>
      <c r="E5" s="30">
        <v>8644.09</v>
      </c>
      <c r="F5" s="30">
        <v>0</v>
      </c>
      <c r="G5" s="30">
        <f>E5-F5</f>
        <v>8644.09</v>
      </c>
      <c r="H5" s="31">
        <v>4543.64</v>
      </c>
      <c r="I5" s="31">
        <v>0</v>
      </c>
      <c r="J5" s="31">
        <f>H5-I5</f>
        <v>4543.64</v>
      </c>
      <c r="K5" s="32">
        <v>833.07</v>
      </c>
      <c r="L5" s="32">
        <v>0</v>
      </c>
      <c r="M5" s="32">
        <f>K5-L5</f>
        <v>833.07</v>
      </c>
    </row>
    <row r="6" spans="1:13" ht="12.75">
      <c r="A6" s="38" t="s">
        <v>16</v>
      </c>
      <c r="B6" s="38"/>
      <c r="C6" s="38"/>
      <c r="D6" s="39"/>
      <c r="E6" s="30">
        <v>10931.84</v>
      </c>
      <c r="F6" s="30">
        <f>3618.97+3570.48+440.8</f>
        <v>7630.25</v>
      </c>
      <c r="G6" s="30">
        <f aca="true" t="shared" si="0" ref="G6:G14">E6-F6</f>
        <v>3301.59</v>
      </c>
      <c r="H6" s="31">
        <v>5746.16</v>
      </c>
      <c r="I6" s="31">
        <f>1902.26+1876.77+231.7</f>
        <v>4010.7299999999996</v>
      </c>
      <c r="J6" s="31">
        <f aca="true" t="shared" si="1" ref="J6:J14">H6-I6</f>
        <v>1735.4300000000003</v>
      </c>
      <c r="K6" s="32">
        <v>3482.31</v>
      </c>
      <c r="L6" s="32">
        <f>377.31+350.07+27.77</f>
        <v>755.15</v>
      </c>
      <c r="M6" s="32">
        <f aca="true" t="shared" si="2" ref="M6:M14">K6-L6</f>
        <v>2727.16</v>
      </c>
    </row>
    <row r="7" spans="1:13" ht="12.75">
      <c r="A7" s="38" t="s">
        <v>10</v>
      </c>
      <c r="B7" s="38"/>
      <c r="C7" s="38"/>
      <c r="D7" s="39"/>
      <c r="E7" s="30">
        <v>10358.8</v>
      </c>
      <c r="F7" s="30">
        <f>5642.24+4628.4</f>
        <v>10270.64</v>
      </c>
      <c r="G7" s="30">
        <f t="shared" si="0"/>
        <v>88.15999999999985</v>
      </c>
      <c r="H7" s="31">
        <v>5444.95</v>
      </c>
      <c r="I7" s="31">
        <f>2965.76+2432.85</f>
        <v>5398.610000000001</v>
      </c>
      <c r="J7" s="31">
        <f t="shared" si="1"/>
        <v>46.339999999999236</v>
      </c>
      <c r="K7" s="32">
        <v>3305.99</v>
      </c>
      <c r="L7" s="32">
        <f>1396.35+1462.57</f>
        <v>2858.92</v>
      </c>
      <c r="M7" s="32">
        <f t="shared" si="2"/>
        <v>447.0699999999997</v>
      </c>
    </row>
    <row r="8" spans="1:13" ht="12.75">
      <c r="A8" s="38" t="s">
        <v>11</v>
      </c>
      <c r="B8" s="38"/>
      <c r="C8" s="38"/>
      <c r="D8" s="39"/>
      <c r="E8" s="30">
        <v>12126.41</v>
      </c>
      <c r="F8" s="30">
        <f>5906.72+3967.2</f>
        <v>9873.92</v>
      </c>
      <c r="G8" s="30">
        <f t="shared" si="0"/>
        <v>2252.49</v>
      </c>
      <c r="H8" s="31">
        <v>6374.07</v>
      </c>
      <c r="I8" s="31">
        <f>3104.78+2085.3</f>
        <v>5190.08</v>
      </c>
      <c r="J8" s="31">
        <f t="shared" si="1"/>
        <v>1183.9899999999998</v>
      </c>
      <c r="K8" s="32">
        <v>524.56</v>
      </c>
      <c r="L8" s="32">
        <f>1730.88+1592.61</f>
        <v>3323.49</v>
      </c>
      <c r="M8" s="32">
        <f t="shared" si="2"/>
        <v>-2798.93</v>
      </c>
    </row>
    <row r="9" spans="1:13" ht="12.75">
      <c r="A9" s="38" t="s">
        <v>12</v>
      </c>
      <c r="B9" s="38"/>
      <c r="C9" s="38"/>
      <c r="D9" s="39"/>
      <c r="E9" s="30">
        <v>11125.15</v>
      </c>
      <c r="F9" s="30">
        <f>6375.87+5278</f>
        <v>11653.869999999999</v>
      </c>
      <c r="G9" s="30">
        <f t="shared" si="0"/>
        <v>-528.7199999999993</v>
      </c>
      <c r="H9" s="31">
        <v>5798.3</v>
      </c>
      <c r="I9" s="31">
        <f>3288.57+2772.59</f>
        <v>6061.16</v>
      </c>
      <c r="J9" s="31">
        <f t="shared" si="1"/>
        <v>-262.8599999999997</v>
      </c>
      <c r="K9" s="32">
        <v>3509.4</v>
      </c>
      <c r="L9" s="32">
        <f>410.96+393.86</f>
        <v>804.8199999999999</v>
      </c>
      <c r="M9" s="32">
        <f t="shared" si="2"/>
        <v>2704.58</v>
      </c>
    </row>
    <row r="10" spans="1:13" ht="12.75">
      <c r="A10" s="38" t="s">
        <v>17</v>
      </c>
      <c r="B10" s="38"/>
      <c r="C10" s="38"/>
      <c r="D10" s="39"/>
      <c r="E10" s="30">
        <v>12097.58</v>
      </c>
      <c r="F10" s="30">
        <f>6463.65+4167.3</f>
        <v>10630.95</v>
      </c>
      <c r="G10" s="30">
        <f t="shared" si="0"/>
        <v>1466.6299999999992</v>
      </c>
      <c r="H10" s="31">
        <v>6305.12</v>
      </c>
      <c r="I10" s="31">
        <f>3435.06+2175.28</f>
        <v>5610.34</v>
      </c>
      <c r="J10" s="31">
        <f t="shared" si="1"/>
        <v>694.7799999999997</v>
      </c>
      <c r="K10" s="32">
        <v>4173.72</v>
      </c>
      <c r="L10" s="32">
        <f>1830.44+1227.48</f>
        <v>3057.92</v>
      </c>
      <c r="M10" s="32">
        <f t="shared" si="2"/>
        <v>1115.8000000000002</v>
      </c>
    </row>
    <row r="11" spans="1:13" ht="12.75">
      <c r="A11" s="38" t="s">
        <v>18</v>
      </c>
      <c r="B11" s="38"/>
      <c r="C11" s="38"/>
      <c r="D11" s="39"/>
      <c r="E11" s="30">
        <v>12761.91</v>
      </c>
      <c r="F11" s="30">
        <f>8163.98+4737.44</f>
        <v>12901.419999999998</v>
      </c>
      <c r="G11" s="30">
        <f t="shared" si="0"/>
        <v>-139.5099999999984</v>
      </c>
      <c r="H11" s="31">
        <v>6651.36</v>
      </c>
      <c r="I11" s="31">
        <f>3490.02+2470.47</f>
        <v>5960.49</v>
      </c>
      <c r="J11" s="31">
        <f t="shared" si="1"/>
        <v>690.8699999999999</v>
      </c>
      <c r="K11" s="32">
        <v>1872.63</v>
      </c>
      <c r="L11" s="32">
        <f>1472.1+1911.09</f>
        <v>3383.1899999999996</v>
      </c>
      <c r="M11" s="32">
        <f t="shared" si="2"/>
        <v>-1510.5599999999995</v>
      </c>
    </row>
    <row r="12" spans="1:13" ht="12.75">
      <c r="A12" s="38" t="s">
        <v>19</v>
      </c>
      <c r="B12" s="38"/>
      <c r="C12" s="38"/>
      <c r="D12" s="39"/>
      <c r="E12" s="30">
        <v>336.98</v>
      </c>
      <c r="F12" s="30">
        <f>7166.73+3995.54+1453.83</f>
        <v>12616.1</v>
      </c>
      <c r="G12" s="30">
        <f t="shared" si="0"/>
        <v>-12279.12</v>
      </c>
      <c r="H12" s="31">
        <v>175.63</v>
      </c>
      <c r="I12" s="31">
        <f>3214.03+2082.47</f>
        <v>5296.5</v>
      </c>
      <c r="J12" s="31">
        <f t="shared" si="1"/>
        <v>-5120.87</v>
      </c>
      <c r="K12" s="32">
        <v>96.3</v>
      </c>
      <c r="L12" s="32">
        <f>1233.81+815.01+172.35</f>
        <v>2221.1699999999996</v>
      </c>
      <c r="M12" s="32">
        <f t="shared" si="2"/>
        <v>-2124.8699999999994</v>
      </c>
    </row>
    <row r="13" spans="1:13" ht="12.75">
      <c r="A13" s="38" t="s">
        <v>20</v>
      </c>
      <c r="B13" s="38"/>
      <c r="C13" s="38"/>
      <c r="D13" s="39"/>
      <c r="E13" s="30">
        <v>0</v>
      </c>
      <c r="F13" s="30">
        <f>967.61+866.6</f>
        <v>1834.21</v>
      </c>
      <c r="G13" s="30">
        <f t="shared" si="0"/>
        <v>-1834.21</v>
      </c>
      <c r="H13" s="31">
        <v>0</v>
      </c>
      <c r="I13" s="31">
        <f>504.31+451.62</f>
        <v>955.9300000000001</v>
      </c>
      <c r="J13" s="31">
        <f t="shared" si="1"/>
        <v>-955.9300000000001</v>
      </c>
      <c r="K13" s="32">
        <v>0</v>
      </c>
      <c r="L13" s="32">
        <f>113.14+102.55</f>
        <v>215.69</v>
      </c>
      <c r="M13" s="32">
        <f t="shared" si="2"/>
        <v>-215.69</v>
      </c>
    </row>
    <row r="14" spans="1:13" ht="12.75">
      <c r="A14" s="38" t="s">
        <v>21</v>
      </c>
      <c r="B14" s="38"/>
      <c r="C14" s="38"/>
      <c r="D14" s="39"/>
      <c r="E14" s="30">
        <v>0</v>
      </c>
      <c r="F14" s="30">
        <v>0</v>
      </c>
      <c r="G14" s="30">
        <f t="shared" si="0"/>
        <v>0</v>
      </c>
      <c r="H14" s="31">
        <v>0</v>
      </c>
      <c r="I14" s="31">
        <v>0</v>
      </c>
      <c r="J14" s="31">
        <f t="shared" si="1"/>
        <v>0</v>
      </c>
      <c r="K14" s="32">
        <v>0</v>
      </c>
      <c r="L14" s="32">
        <v>0</v>
      </c>
      <c r="M14" s="32">
        <f t="shared" si="2"/>
        <v>0</v>
      </c>
    </row>
    <row r="15" spans="1:13" ht="12.75">
      <c r="A15" s="38" t="s">
        <v>37</v>
      </c>
      <c r="B15" s="38"/>
      <c r="C15" s="38"/>
      <c r="D15" s="39"/>
      <c r="E15" s="33">
        <f aca="true" t="shared" si="3" ref="E15:M15">SUM(E5:E14)</f>
        <v>78382.76</v>
      </c>
      <c r="F15" s="33">
        <f t="shared" si="3"/>
        <v>77411.36</v>
      </c>
      <c r="G15" s="33">
        <f t="shared" si="3"/>
        <v>971.4000000000005</v>
      </c>
      <c r="H15" s="33">
        <f t="shared" si="3"/>
        <v>41039.229999999996</v>
      </c>
      <c r="I15" s="33">
        <f t="shared" si="3"/>
        <v>38483.840000000004</v>
      </c>
      <c r="J15" s="33">
        <f t="shared" si="3"/>
        <v>2555.3899999999985</v>
      </c>
      <c r="K15" s="33">
        <f t="shared" si="3"/>
        <v>17797.98</v>
      </c>
      <c r="L15" s="33">
        <f t="shared" si="3"/>
        <v>16620.349999999995</v>
      </c>
      <c r="M15" s="33">
        <f t="shared" si="3"/>
        <v>1177.630000000001</v>
      </c>
    </row>
    <row r="19" spans="1:16" ht="12.75">
      <c r="A19" s="35" t="s">
        <v>25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7"/>
    </row>
    <row r="20" spans="1:16" ht="12.75" customHeight="1">
      <c r="A20" s="4"/>
      <c r="B20" s="4" t="s">
        <v>0</v>
      </c>
      <c r="C20" s="1" t="s">
        <v>1</v>
      </c>
      <c r="D20" s="5" t="s">
        <v>2</v>
      </c>
      <c r="E20" s="5"/>
      <c r="F20" s="5"/>
      <c r="G20" s="42" t="s">
        <v>38</v>
      </c>
      <c r="H20" s="42" t="s">
        <v>39</v>
      </c>
      <c r="I20" s="42" t="s">
        <v>40</v>
      </c>
      <c r="J20" s="42" t="s">
        <v>41</v>
      </c>
      <c r="K20" s="50" t="s">
        <v>3</v>
      </c>
      <c r="L20" s="51"/>
      <c r="M20" s="52"/>
      <c r="N20" s="55" t="s">
        <v>45</v>
      </c>
      <c r="O20" s="47" t="s">
        <v>4</v>
      </c>
      <c r="P20" s="47" t="s">
        <v>5</v>
      </c>
    </row>
    <row r="21" spans="1:16" ht="13.5" customHeight="1" thickBot="1">
      <c r="A21" s="1">
        <v>1782.7</v>
      </c>
      <c r="B21" s="1"/>
      <c r="C21" s="1" t="s">
        <v>6</v>
      </c>
      <c r="D21" s="5" t="s">
        <v>7</v>
      </c>
      <c r="E21" s="5" t="s">
        <v>8</v>
      </c>
      <c r="F21" s="14" t="s">
        <v>9</v>
      </c>
      <c r="G21" s="44"/>
      <c r="H21" s="44"/>
      <c r="I21" s="44"/>
      <c r="J21" s="44"/>
      <c r="K21" s="42" t="s">
        <v>42</v>
      </c>
      <c r="L21" s="42" t="s">
        <v>43</v>
      </c>
      <c r="M21" s="42" t="s">
        <v>44</v>
      </c>
      <c r="N21" s="56"/>
      <c r="O21" s="48"/>
      <c r="P21" s="48"/>
    </row>
    <row r="22" spans="1:16" ht="31.5" customHeight="1" thickBot="1">
      <c r="A22" s="1"/>
      <c r="B22" s="1"/>
      <c r="C22" s="1"/>
      <c r="D22" s="11"/>
      <c r="E22" s="13"/>
      <c r="F22" s="16">
        <v>11535.35</v>
      </c>
      <c r="G22" s="43"/>
      <c r="H22" s="43"/>
      <c r="I22" s="43"/>
      <c r="J22" s="43"/>
      <c r="K22" s="43"/>
      <c r="L22" s="43"/>
      <c r="M22" s="43"/>
      <c r="N22" s="57"/>
      <c r="O22" s="49"/>
      <c r="P22" s="49"/>
    </row>
    <row r="23" spans="1:16" ht="12.75">
      <c r="A23" s="2" t="s">
        <v>14</v>
      </c>
      <c r="B23" s="3"/>
      <c r="C23" s="1"/>
      <c r="D23" s="6">
        <f>3722.85+2094.93+2032.26</f>
        <v>7850.04</v>
      </c>
      <c r="E23" s="6">
        <f>2068.25+1164.04+1276.74</f>
        <v>4509.03</v>
      </c>
      <c r="F23" s="15">
        <f aca="true" t="shared" si="4" ref="F23:F34">SUM(D23:E23)</f>
        <v>12359.07</v>
      </c>
      <c r="G23" s="9">
        <f aca="true" t="shared" si="5" ref="G23:G34">SUM(F23*0.09)</f>
        <v>1112.3163</v>
      </c>
      <c r="H23" s="8">
        <v>0</v>
      </c>
      <c r="I23" s="8">
        <v>0</v>
      </c>
      <c r="J23" s="12">
        <v>0</v>
      </c>
      <c r="K23" s="7">
        <f>A21*1.4</f>
        <v>2495.7799999999997</v>
      </c>
      <c r="L23" s="7">
        <v>1200</v>
      </c>
      <c r="M23" s="7">
        <v>0</v>
      </c>
      <c r="N23" s="8">
        <f aca="true" t="shared" si="6" ref="N23:N35">SUM(F23*0.15)</f>
        <v>1853.8604999999998</v>
      </c>
      <c r="O23" s="8">
        <f aca="true" t="shared" si="7" ref="O23:O35">SUM(G23:N23)</f>
        <v>6661.956799999999</v>
      </c>
      <c r="P23" s="10">
        <f aca="true" t="shared" si="8" ref="P23:P36">F23-O23</f>
        <v>5697.113200000001</v>
      </c>
    </row>
    <row r="24" spans="1:16" ht="12.75">
      <c r="A24" s="2" t="s">
        <v>15</v>
      </c>
      <c r="B24" s="3"/>
      <c r="C24" s="1"/>
      <c r="D24" s="6">
        <f>3881.5+2538.81</f>
        <v>6420.3099999999995</v>
      </c>
      <c r="E24" s="6">
        <f>2156.5+1410.29</f>
        <v>3566.79</v>
      </c>
      <c r="F24" s="15">
        <f t="shared" si="4"/>
        <v>9987.099999999999</v>
      </c>
      <c r="G24" s="9">
        <f t="shared" si="5"/>
        <v>898.8389999999998</v>
      </c>
      <c r="H24" s="8">
        <v>0</v>
      </c>
      <c r="I24" s="8">
        <v>0</v>
      </c>
      <c r="J24" s="12">
        <v>1609</v>
      </c>
      <c r="K24" s="7">
        <v>2495.78</v>
      </c>
      <c r="L24" s="7">
        <v>1200</v>
      </c>
      <c r="M24" s="7">
        <v>4500</v>
      </c>
      <c r="N24" s="8">
        <f t="shared" si="6"/>
        <v>1498.0649999999998</v>
      </c>
      <c r="O24" s="8">
        <f t="shared" si="7"/>
        <v>12201.684000000001</v>
      </c>
      <c r="P24" s="10">
        <f t="shared" si="8"/>
        <v>-2214.5840000000026</v>
      </c>
    </row>
    <row r="25" spans="1:16" ht="12.75">
      <c r="A25" s="2" t="s">
        <v>13</v>
      </c>
      <c r="B25" s="3"/>
      <c r="C25" s="1"/>
      <c r="D25" s="6">
        <f>3417.65+4468.02</f>
        <v>7885.67</v>
      </c>
      <c r="E25" s="6">
        <f>2056.5+2481.73</f>
        <v>4538.23</v>
      </c>
      <c r="F25" s="15">
        <f t="shared" si="4"/>
        <v>12423.9</v>
      </c>
      <c r="G25" s="9">
        <f t="shared" si="5"/>
        <v>1118.1509999999998</v>
      </c>
      <c r="H25" s="8">
        <v>1782.7</v>
      </c>
      <c r="I25" s="8">
        <v>0</v>
      </c>
      <c r="J25" s="12">
        <f>384+1241</f>
        <v>1625</v>
      </c>
      <c r="K25" s="7">
        <v>2495.78</v>
      </c>
      <c r="L25" s="7">
        <v>1200</v>
      </c>
      <c r="M25" s="7">
        <v>2938.5</v>
      </c>
      <c r="N25" s="8">
        <f t="shared" si="6"/>
        <v>1863.5849999999998</v>
      </c>
      <c r="O25" s="8">
        <f t="shared" si="7"/>
        <v>13023.715999999999</v>
      </c>
      <c r="P25" s="10">
        <f t="shared" si="8"/>
        <v>-599.8159999999989</v>
      </c>
    </row>
    <row r="26" spans="1:16" ht="12.75">
      <c r="A26" s="2" t="s">
        <v>16</v>
      </c>
      <c r="B26" s="3"/>
      <c r="C26" s="1"/>
      <c r="D26" s="6">
        <f>4442.9+3849.77+563.49</f>
        <v>8856.16</v>
      </c>
      <c r="E26" s="6">
        <f>2019.5+1846.75+298</f>
        <v>4164.25</v>
      </c>
      <c r="F26" s="15">
        <f t="shared" si="4"/>
        <v>13020.41</v>
      </c>
      <c r="G26" s="9">
        <f t="shared" si="5"/>
        <v>1171.8369</v>
      </c>
      <c r="H26" s="8">
        <v>1782.7</v>
      </c>
      <c r="I26" s="8">
        <v>2404.76</v>
      </c>
      <c r="J26" s="12">
        <v>1169</v>
      </c>
      <c r="K26" s="7">
        <v>2495.78</v>
      </c>
      <c r="L26" s="7">
        <v>1200</v>
      </c>
      <c r="M26" s="7">
        <f>532.8+3000</f>
        <v>3532.8</v>
      </c>
      <c r="N26" s="8">
        <f t="shared" si="6"/>
        <v>1953.0614999999998</v>
      </c>
      <c r="O26" s="8">
        <f t="shared" si="7"/>
        <v>15709.9384</v>
      </c>
      <c r="P26" s="10">
        <f t="shared" si="8"/>
        <v>-2689.5283999999992</v>
      </c>
    </row>
    <row r="27" spans="1:16" ht="12.75">
      <c r="A27" s="2" t="s">
        <v>10</v>
      </c>
      <c r="B27" s="3"/>
      <c r="C27" s="1"/>
      <c r="D27" s="6">
        <f>4552+4710.04</f>
        <v>9262.04</v>
      </c>
      <c r="E27" s="6">
        <f>2039+2252</f>
        <v>4291</v>
      </c>
      <c r="F27" s="15">
        <f t="shared" si="4"/>
        <v>13553.04</v>
      </c>
      <c r="G27" s="9">
        <f t="shared" si="5"/>
        <v>1219.7736</v>
      </c>
      <c r="H27" s="8">
        <v>1782.7</v>
      </c>
      <c r="I27" s="8">
        <v>2404.76</v>
      </c>
      <c r="J27" s="12">
        <v>0</v>
      </c>
      <c r="K27" s="7">
        <v>2495.78</v>
      </c>
      <c r="L27" s="7">
        <v>0</v>
      </c>
      <c r="M27" s="7">
        <v>532.8</v>
      </c>
      <c r="N27" s="8">
        <f t="shared" si="6"/>
        <v>2032.9560000000001</v>
      </c>
      <c r="O27" s="8">
        <f t="shared" si="7"/>
        <v>10468.7696</v>
      </c>
      <c r="P27" s="10">
        <f t="shared" si="8"/>
        <v>3084.2704000000012</v>
      </c>
    </row>
    <row r="28" spans="1:16" ht="12.75">
      <c r="A28" s="2" t="s">
        <v>11</v>
      </c>
      <c r="B28" s="3"/>
      <c r="C28" s="1"/>
      <c r="D28" s="6">
        <f>5125.8+4959.08</f>
        <v>10084.880000000001</v>
      </c>
      <c r="E28" s="6">
        <f>2222.75+2204.29</f>
        <v>4427.04</v>
      </c>
      <c r="F28" s="15">
        <f t="shared" si="4"/>
        <v>14511.920000000002</v>
      </c>
      <c r="G28" s="9">
        <f t="shared" si="5"/>
        <v>1306.0728000000001</v>
      </c>
      <c r="H28" s="8">
        <v>1782.7</v>
      </c>
      <c r="I28" s="8">
        <v>2404.76</v>
      </c>
      <c r="J28" s="12">
        <v>0</v>
      </c>
      <c r="K28" s="7">
        <v>2495.78</v>
      </c>
      <c r="L28" s="7">
        <v>0</v>
      </c>
      <c r="M28" s="7">
        <f>532.8+3918</f>
        <v>4450.8</v>
      </c>
      <c r="N28" s="8">
        <f t="shared" si="6"/>
        <v>2176.788</v>
      </c>
      <c r="O28" s="8">
        <f t="shared" si="7"/>
        <v>14616.900800000003</v>
      </c>
      <c r="P28" s="10">
        <f t="shared" si="8"/>
        <v>-104.98080000000118</v>
      </c>
    </row>
    <row r="29" spans="1:16" ht="12.75">
      <c r="A29" s="2" t="s">
        <v>12</v>
      </c>
      <c r="B29" s="3"/>
      <c r="C29" s="1"/>
      <c r="D29" s="6">
        <f>3968.9+4453.35</f>
        <v>8422.25</v>
      </c>
      <c r="E29" s="6">
        <f>1916.5+2024.25</f>
        <v>3940.75</v>
      </c>
      <c r="F29" s="15">
        <f t="shared" si="4"/>
        <v>12363</v>
      </c>
      <c r="G29" s="9">
        <f t="shared" si="5"/>
        <v>1112.6699999999998</v>
      </c>
      <c r="H29" s="8">
        <v>1782.7</v>
      </c>
      <c r="I29" s="8">
        <v>2404.76</v>
      </c>
      <c r="J29" s="12">
        <v>7655</v>
      </c>
      <c r="K29" s="7">
        <v>2495.78</v>
      </c>
      <c r="L29" s="7">
        <v>0</v>
      </c>
      <c r="M29" s="7">
        <f>532.8+1570.5</f>
        <v>2103.3</v>
      </c>
      <c r="N29" s="8">
        <f t="shared" si="6"/>
        <v>1854.4499999999998</v>
      </c>
      <c r="O29" s="8">
        <f t="shared" si="7"/>
        <v>19408.660000000003</v>
      </c>
      <c r="P29" s="10">
        <f t="shared" si="8"/>
        <v>-7045.6600000000035</v>
      </c>
    </row>
    <row r="30" spans="1:16" ht="12.75">
      <c r="A30" s="2" t="s">
        <v>17</v>
      </c>
      <c r="B30" s="3"/>
      <c r="C30" s="1"/>
      <c r="D30" s="6">
        <f>4823.95+4540.3</f>
        <v>9364.25</v>
      </c>
      <c r="E30" s="6">
        <f>2205.25+2063.5</f>
        <v>4268.75</v>
      </c>
      <c r="F30" s="15">
        <f t="shared" si="4"/>
        <v>13633</v>
      </c>
      <c r="G30" s="9">
        <f t="shared" si="5"/>
        <v>1226.97</v>
      </c>
      <c r="H30" s="8">
        <v>0</v>
      </c>
      <c r="I30" s="8">
        <v>2404.76</v>
      </c>
      <c r="J30" s="12">
        <v>0</v>
      </c>
      <c r="K30" s="7">
        <v>0</v>
      </c>
      <c r="L30" s="7">
        <v>0</v>
      </c>
      <c r="M30" s="7">
        <v>532.8</v>
      </c>
      <c r="N30" s="8">
        <f t="shared" si="6"/>
        <v>2044.9499999999998</v>
      </c>
      <c r="O30" s="8">
        <f t="shared" si="7"/>
        <v>6209.4800000000005</v>
      </c>
      <c r="P30" s="10">
        <f t="shared" si="8"/>
        <v>7423.5199999999995</v>
      </c>
    </row>
    <row r="31" spans="1:16" ht="12.75">
      <c r="A31" s="2" t="s">
        <v>18</v>
      </c>
      <c r="B31" s="3"/>
      <c r="C31" s="1"/>
      <c r="D31" s="6">
        <f>4198.15+4146.45+3000</f>
        <v>11344.599999999999</v>
      </c>
      <c r="E31" s="6">
        <f>3217.45+3399.95+1000</f>
        <v>7617.4</v>
      </c>
      <c r="F31" s="15">
        <f t="shared" si="4"/>
        <v>18962</v>
      </c>
      <c r="G31" s="9">
        <f t="shared" si="5"/>
        <v>1706.58</v>
      </c>
      <c r="H31" s="8">
        <v>0</v>
      </c>
      <c r="I31" s="8">
        <v>2404.76</v>
      </c>
      <c r="J31" s="12">
        <f>1212+874</f>
        <v>2086</v>
      </c>
      <c r="K31" s="7">
        <v>0</v>
      </c>
      <c r="L31" s="7">
        <v>0</v>
      </c>
      <c r="M31" s="7">
        <f>732.6+7500+14500</f>
        <v>22732.6</v>
      </c>
      <c r="N31" s="8">
        <f t="shared" si="6"/>
        <v>2844.2999999999997</v>
      </c>
      <c r="O31" s="8">
        <f t="shared" si="7"/>
        <v>31774.239999999998</v>
      </c>
      <c r="P31" s="10">
        <f t="shared" si="8"/>
        <v>-12812.239999999998</v>
      </c>
    </row>
    <row r="32" spans="1:16" ht="12.75">
      <c r="A32" s="40" t="s">
        <v>19</v>
      </c>
      <c r="B32" s="41"/>
      <c r="C32" s="1"/>
      <c r="D32" s="6">
        <f>5578.65+3798.85</f>
        <v>9377.5</v>
      </c>
      <c r="E32" s="6">
        <f>4684.75+2813.35</f>
        <v>7498.1</v>
      </c>
      <c r="F32" s="15">
        <f t="shared" si="4"/>
        <v>16875.6</v>
      </c>
      <c r="G32" s="9">
        <f t="shared" si="5"/>
        <v>1518.8039999999999</v>
      </c>
      <c r="H32" s="8">
        <v>0</v>
      </c>
      <c r="I32" s="8">
        <v>2404.76</v>
      </c>
      <c r="J32" s="12">
        <v>0</v>
      </c>
      <c r="K32" s="7">
        <v>0</v>
      </c>
      <c r="L32" s="7">
        <v>1400</v>
      </c>
      <c r="M32" s="7">
        <f>732.6+1571</f>
        <v>2303.6</v>
      </c>
      <c r="N32" s="8">
        <f t="shared" si="6"/>
        <v>2531.3399999999997</v>
      </c>
      <c r="O32" s="8">
        <f t="shared" si="7"/>
        <v>10158.504</v>
      </c>
      <c r="P32" s="10">
        <f t="shared" si="8"/>
        <v>6717.095999999998</v>
      </c>
    </row>
    <row r="33" spans="1:16" ht="12.75">
      <c r="A33" s="40" t="s">
        <v>20</v>
      </c>
      <c r="B33" s="41"/>
      <c r="C33" s="1"/>
      <c r="D33" s="6">
        <f>4708.55+3141.05+1000</f>
        <v>8849.6</v>
      </c>
      <c r="E33" s="6">
        <f>3954.85+2569.95+1000</f>
        <v>7524.799999999999</v>
      </c>
      <c r="F33" s="15">
        <f t="shared" si="4"/>
        <v>16374.4</v>
      </c>
      <c r="G33" s="9">
        <f t="shared" si="5"/>
        <v>1473.696</v>
      </c>
      <c r="H33" s="8">
        <v>0</v>
      </c>
      <c r="I33" s="8">
        <v>2404.76</v>
      </c>
      <c r="J33" s="12">
        <v>0</v>
      </c>
      <c r="K33" s="7">
        <v>0</v>
      </c>
      <c r="L33" s="7">
        <v>1400</v>
      </c>
      <c r="M33" s="7">
        <f>732.6+1000</f>
        <v>1732.6</v>
      </c>
      <c r="N33" s="8">
        <f t="shared" si="6"/>
        <v>2456.16</v>
      </c>
      <c r="O33" s="8">
        <f t="shared" si="7"/>
        <v>9467.216</v>
      </c>
      <c r="P33" s="10">
        <f t="shared" si="8"/>
        <v>6907.183999999999</v>
      </c>
    </row>
    <row r="34" spans="1:16" ht="12.75">
      <c r="A34" s="40" t="s">
        <v>21</v>
      </c>
      <c r="B34" s="41"/>
      <c r="C34" s="1"/>
      <c r="D34" s="6">
        <f>7168.7+1852.95</f>
        <v>9021.65</v>
      </c>
      <c r="E34" s="6">
        <f>5747.76+1516.05</f>
        <v>7263.81</v>
      </c>
      <c r="F34" s="15">
        <f t="shared" si="4"/>
        <v>16285.46</v>
      </c>
      <c r="G34" s="9">
        <f t="shared" si="5"/>
        <v>1465.6914</v>
      </c>
      <c r="H34" s="8">
        <v>0</v>
      </c>
      <c r="I34" s="8">
        <v>2404.76</v>
      </c>
      <c r="J34" s="12">
        <v>1299</v>
      </c>
      <c r="K34" s="7">
        <v>0</v>
      </c>
      <c r="L34" s="7">
        <v>1400</v>
      </c>
      <c r="M34" s="7">
        <v>732.6</v>
      </c>
      <c r="N34" s="8">
        <f t="shared" si="6"/>
        <v>2442.819</v>
      </c>
      <c r="O34" s="8">
        <f t="shared" si="7"/>
        <v>9744.8704</v>
      </c>
      <c r="P34" s="10">
        <f t="shared" si="8"/>
        <v>6540.589599999999</v>
      </c>
    </row>
    <row r="35" spans="1:16" ht="12.75">
      <c r="A35" s="22" t="s">
        <v>24</v>
      </c>
      <c r="B35" s="23"/>
      <c r="C35" s="24"/>
      <c r="D35" s="6">
        <f>900+900+900+900</f>
        <v>3600</v>
      </c>
      <c r="E35" s="6">
        <v>0</v>
      </c>
      <c r="F35" s="15">
        <f>D35+E35</f>
        <v>3600</v>
      </c>
      <c r="G35" s="9">
        <f>SUM(F35*0.06)</f>
        <v>216</v>
      </c>
      <c r="H35" s="8">
        <v>0</v>
      </c>
      <c r="I35" s="8">
        <v>0</v>
      </c>
      <c r="J35" s="12">
        <v>0</v>
      </c>
      <c r="K35" s="7">
        <v>0</v>
      </c>
      <c r="L35" s="7">
        <v>0</v>
      </c>
      <c r="M35" s="7">
        <v>0</v>
      </c>
      <c r="N35" s="8">
        <f t="shared" si="6"/>
        <v>540</v>
      </c>
      <c r="O35" s="8">
        <f t="shared" si="7"/>
        <v>756</v>
      </c>
      <c r="P35" s="10">
        <f t="shared" si="8"/>
        <v>2844</v>
      </c>
    </row>
    <row r="36" spans="1:16" ht="14.25">
      <c r="A36" s="18" t="s">
        <v>9</v>
      </c>
      <c r="B36" s="18"/>
      <c r="C36" s="18"/>
      <c r="D36" s="21">
        <f>SUM(D23:D35)</f>
        <v>110338.95000000001</v>
      </c>
      <c r="E36" s="21">
        <f>SUM(E23:E35)</f>
        <v>63609.95</v>
      </c>
      <c r="F36" s="21">
        <f>SUM(F22:F35)</f>
        <v>185484.24999999997</v>
      </c>
      <c r="G36" s="21">
        <f aca="true" t="shared" si="9" ref="G36:O36">SUM(G23:G35)</f>
        <v>15547.400999999998</v>
      </c>
      <c r="H36" s="21">
        <f t="shared" si="9"/>
        <v>8913.5</v>
      </c>
      <c r="I36" s="21">
        <f t="shared" si="9"/>
        <v>21642.840000000004</v>
      </c>
      <c r="J36" s="21">
        <f t="shared" si="9"/>
        <v>15443</v>
      </c>
      <c r="K36" s="21">
        <f t="shared" si="9"/>
        <v>17470.460000000003</v>
      </c>
      <c r="L36" s="21">
        <f t="shared" si="9"/>
        <v>9000</v>
      </c>
      <c r="M36" s="21">
        <f t="shared" si="9"/>
        <v>46092.39999999999</v>
      </c>
      <c r="N36" s="21">
        <f t="shared" si="9"/>
        <v>26092.335</v>
      </c>
      <c r="O36" s="21">
        <f t="shared" si="9"/>
        <v>160201.93600000005</v>
      </c>
      <c r="P36" s="20">
        <f t="shared" si="8"/>
        <v>25282.313999999926</v>
      </c>
    </row>
    <row r="38" spans="4:10" ht="12.75">
      <c r="D38" t="s">
        <v>15</v>
      </c>
      <c r="E38" t="s">
        <v>26</v>
      </c>
      <c r="F38" t="s">
        <v>27</v>
      </c>
      <c r="J38" s="26"/>
    </row>
    <row r="39" spans="4:16" ht="12.75">
      <c r="D39" t="s">
        <v>13</v>
      </c>
      <c r="E39" t="s">
        <v>28</v>
      </c>
      <c r="F39" s="19" t="s">
        <v>29</v>
      </c>
      <c r="P39" s="19"/>
    </row>
    <row r="40" spans="4:16" ht="12.75">
      <c r="D40" t="s">
        <v>16</v>
      </c>
      <c r="E40" t="s">
        <v>46</v>
      </c>
      <c r="F40" s="19" t="s">
        <v>47</v>
      </c>
      <c r="P40" s="19"/>
    </row>
    <row r="41" spans="4:16" ht="12.75">
      <c r="D41" t="s">
        <v>11</v>
      </c>
      <c r="E41" t="s">
        <v>48</v>
      </c>
      <c r="F41" s="19" t="s">
        <v>29</v>
      </c>
      <c r="P41" s="19"/>
    </row>
    <row r="42" spans="4:16" ht="12.75">
      <c r="D42" t="s">
        <v>12</v>
      </c>
      <c r="E42" t="s">
        <v>49</v>
      </c>
      <c r="F42" s="19" t="s">
        <v>50</v>
      </c>
      <c r="P42" s="19"/>
    </row>
    <row r="43" spans="4:16" ht="12.75">
      <c r="D43" t="s">
        <v>18</v>
      </c>
      <c r="E43" t="s">
        <v>51</v>
      </c>
      <c r="F43" s="19" t="s">
        <v>23</v>
      </c>
      <c r="P43" s="19"/>
    </row>
    <row r="44" spans="5:16" ht="12.75">
      <c r="E44" t="s">
        <v>52</v>
      </c>
      <c r="F44" s="19" t="s">
        <v>53</v>
      </c>
      <c r="P44" s="19"/>
    </row>
    <row r="45" spans="4:16" ht="12.75">
      <c r="D45" t="s">
        <v>19</v>
      </c>
      <c r="E45" t="s">
        <v>54</v>
      </c>
      <c r="F45" s="19" t="s">
        <v>55</v>
      </c>
      <c r="P45" s="19"/>
    </row>
    <row r="46" spans="4:16" ht="12.75">
      <c r="D46" t="s">
        <v>20</v>
      </c>
      <c r="E46" t="s">
        <v>56</v>
      </c>
      <c r="F46" s="19" t="s">
        <v>57</v>
      </c>
      <c r="P46" s="19"/>
    </row>
    <row r="47" spans="6:16" ht="12.75">
      <c r="F47" s="19"/>
      <c r="P47" s="19"/>
    </row>
    <row r="48" spans="6:16" ht="12.75">
      <c r="F48" s="19"/>
      <c r="P48" s="19"/>
    </row>
    <row r="50" spans="4:16" ht="12.75">
      <c r="D50" s="37" t="s">
        <v>22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4:16" ht="12.75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4:16" ht="12.75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4:16" ht="12.75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4:16" ht="12.7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4:16" ht="27.75" customHeight="1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</sheetData>
  <sheetProtection/>
  <mergeCells count="33">
    <mergeCell ref="A34:B34"/>
    <mergeCell ref="K3:M3"/>
    <mergeCell ref="A3:D3"/>
    <mergeCell ref="A13:D13"/>
    <mergeCell ref="A4:D4"/>
    <mergeCell ref="A6:D6"/>
    <mergeCell ref="A2:M2"/>
    <mergeCell ref="A11:D11"/>
    <mergeCell ref="A7:D7"/>
    <mergeCell ref="A19:O19"/>
    <mergeCell ref="E3:G3"/>
    <mergeCell ref="N20:N22"/>
    <mergeCell ref="O20:O22"/>
    <mergeCell ref="A9:D9"/>
    <mergeCell ref="A5:D5"/>
    <mergeCell ref="H3:J3"/>
    <mergeCell ref="P20:P22"/>
    <mergeCell ref="H20:H22"/>
    <mergeCell ref="I20:I22"/>
    <mergeCell ref="J20:J22"/>
    <mergeCell ref="K20:M20"/>
    <mergeCell ref="L21:L22"/>
    <mergeCell ref="A10:D10"/>
    <mergeCell ref="K21:K22"/>
    <mergeCell ref="G20:G22"/>
    <mergeCell ref="M21:M22"/>
    <mergeCell ref="A32:B32"/>
    <mergeCell ref="D50:P50"/>
    <mergeCell ref="A8:D8"/>
    <mergeCell ref="A15:D15"/>
    <mergeCell ref="A12:D12"/>
    <mergeCell ref="A33:B33"/>
    <mergeCell ref="A14:D14"/>
  </mergeCells>
  <printOptions/>
  <pageMargins left="0.3541666666666667" right="0.22916666666666666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User</cp:lastModifiedBy>
  <cp:lastPrinted>2015-07-16T09:29:27Z</cp:lastPrinted>
  <dcterms:created xsi:type="dcterms:W3CDTF">2011-07-19T05:50:16Z</dcterms:created>
  <dcterms:modified xsi:type="dcterms:W3CDTF">2016-02-03T04:27:13Z</dcterms:modified>
  <cp:category/>
  <cp:version/>
  <cp:contentType/>
  <cp:contentStatus/>
</cp:coreProperties>
</file>