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2225" windowHeight="4875" activeTab="0"/>
  </bookViews>
  <sheets>
    <sheet name="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2000р-юр.услуги</t>
        </r>
      </text>
    </comment>
    <comment ref="M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1515р-краска</t>
        </r>
      </text>
    </comment>
  </commentList>
</comments>
</file>

<file path=xl/sharedStrings.xml><?xml version="1.0" encoding="utf-8"?>
<sst xmlns="http://schemas.openxmlformats.org/spreadsheetml/2006/main" count="63" uniqueCount="44">
  <si>
    <t>август</t>
  </si>
  <si>
    <t>сентябрь</t>
  </si>
  <si>
    <t>октябрь</t>
  </si>
  <si>
    <t>ноябрь</t>
  </si>
  <si>
    <t xml:space="preserve">Остаток </t>
  </si>
  <si>
    <t>Площадь</t>
  </si>
  <si>
    <t xml:space="preserve">Кол-во </t>
  </si>
  <si>
    <t>квар.</t>
  </si>
  <si>
    <t>Расходы</t>
  </si>
  <si>
    <t>Содержание</t>
  </si>
  <si>
    <t>декабрь</t>
  </si>
  <si>
    <t>январь</t>
  </si>
  <si>
    <t>февраль</t>
  </si>
  <si>
    <t>март</t>
  </si>
  <si>
    <t>апрель</t>
  </si>
  <si>
    <t>Поступило от населения</t>
  </si>
  <si>
    <t>итого</t>
  </si>
  <si>
    <t>май</t>
  </si>
  <si>
    <t>кап.рем</t>
  </si>
  <si>
    <t>июнь</t>
  </si>
  <si>
    <t>Ген. директор ООО "Георгиевск - ЖЭУ"                                            Никишина И.М.</t>
  </si>
  <si>
    <t>июль</t>
  </si>
  <si>
    <t>юр.услуги</t>
  </si>
  <si>
    <t>Учет доходов и расходов по Вехова 69 на 2015 год</t>
  </si>
  <si>
    <t>Доходы и расходы по воде и стокам</t>
  </si>
  <si>
    <t>Вода</t>
  </si>
  <si>
    <t>Стоки</t>
  </si>
  <si>
    <t>Вода ОДН</t>
  </si>
  <si>
    <t xml:space="preserve">начислено </t>
  </si>
  <si>
    <t xml:space="preserve">оплачено </t>
  </si>
  <si>
    <t>долг</t>
  </si>
  <si>
    <t>Итого</t>
  </si>
  <si>
    <t>2000р</t>
  </si>
  <si>
    <t>Оплата банковских услуг и услуг ЕРКЦ</t>
  </si>
  <si>
    <t>Затраты по управлению</t>
  </si>
  <si>
    <t>Содержание придомовой территории</t>
  </si>
  <si>
    <t>Текущий ремонт</t>
  </si>
  <si>
    <t>аварийно-диспетчерское обслуживание</t>
  </si>
  <si>
    <t>Проф. обходы и осмотры, разное</t>
  </si>
  <si>
    <t>Общие эксплутационные расходы</t>
  </si>
  <si>
    <t>1515р</t>
  </si>
  <si>
    <t>краска</t>
  </si>
  <si>
    <t>содержание</t>
  </si>
  <si>
    <t>ремонт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</si>
</sst>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0.000"/>
    <numFmt numFmtId="167" formatCode="0.0"/>
    <numFmt numFmtId="168" formatCode="#,##0.0_р_."/>
    <numFmt numFmtId="169" formatCode="#,##0.0000_р_."/>
    <numFmt numFmtId="170" formatCode="#,##0.00&quot;р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1" fillId="4" borderId="10" xfId="0" applyNumberFormat="1" applyFont="1" applyFill="1" applyBorder="1" applyAlignment="1">
      <alignment/>
    </xf>
    <xf numFmtId="164" fontId="1" fillId="32" borderId="10" xfId="0" applyNumberFormat="1" applyFont="1" applyFill="1" applyBorder="1" applyAlignment="1">
      <alignment/>
    </xf>
    <xf numFmtId="164" fontId="1" fillId="32" borderId="10" xfId="0" applyNumberFormat="1" applyFont="1" applyFill="1" applyBorder="1" applyAlignment="1">
      <alignment/>
    </xf>
    <xf numFmtId="164" fontId="1" fillId="32" borderId="11" xfId="0" applyNumberFormat="1" applyFont="1" applyFill="1" applyBorder="1" applyAlignment="1">
      <alignment/>
    </xf>
    <xf numFmtId="164" fontId="1" fillId="32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1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1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4" fontId="1" fillId="4" borderId="11" xfId="0" applyNumberFormat="1" applyFont="1" applyFill="1" applyBorder="1" applyAlignment="1">
      <alignment/>
    </xf>
    <xf numFmtId="164" fontId="1" fillId="5" borderId="10" xfId="0" applyNumberFormat="1" applyFont="1" applyFill="1" applyBorder="1" applyAlignment="1">
      <alignment/>
    </xf>
    <xf numFmtId="2" fontId="1" fillId="0" borderId="14" xfId="0" applyNumberFormat="1" applyFont="1" applyBorder="1" applyAlignment="1">
      <alignment/>
    </xf>
    <xf numFmtId="0" fontId="1" fillId="5" borderId="10" xfId="0" applyFont="1" applyFill="1" applyBorder="1" applyAlignment="1">
      <alignment/>
    </xf>
    <xf numFmtId="2" fontId="1" fillId="5" borderId="10" xfId="0" applyNumberFormat="1" applyFont="1" applyFill="1" applyBorder="1" applyAlignment="1">
      <alignment/>
    </xf>
    <xf numFmtId="0" fontId="1" fillId="5" borderId="12" xfId="0" applyFont="1" applyFill="1" applyBorder="1" applyAlignment="1">
      <alignment/>
    </xf>
    <xf numFmtId="2" fontId="1" fillId="5" borderId="11" xfId="0" applyNumberFormat="1" applyFont="1" applyFill="1" applyBorder="1" applyAlignment="1">
      <alignment/>
    </xf>
    <xf numFmtId="0" fontId="0" fillId="5" borderId="10" xfId="0" applyFill="1" applyBorder="1" applyAlignment="1">
      <alignment/>
    </xf>
    <xf numFmtId="0" fontId="1" fillId="0" borderId="14" xfId="0" applyFont="1" applyFill="1" applyBorder="1" applyAlignment="1">
      <alignment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170" fontId="2" fillId="33" borderId="10" xfId="0" applyNumberFormat="1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2" fontId="0" fillId="6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6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1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4.125" style="0" customWidth="1"/>
    <col min="2" max="3" width="2.625" style="0" customWidth="1"/>
    <col min="4" max="4" width="1.875" style="0" customWidth="1"/>
    <col min="5" max="5" width="10.125" style="0" customWidth="1"/>
    <col min="6" max="6" width="9.75390625" style="0" customWidth="1"/>
    <col min="7" max="7" width="9.875" style="0" customWidth="1"/>
    <col min="10" max="10" width="10.125" style="0" customWidth="1"/>
    <col min="12" max="12" width="11.875" style="0" customWidth="1"/>
    <col min="15" max="16" width="9.875" style="0" customWidth="1"/>
  </cols>
  <sheetData>
    <row r="1" spans="1:17" ht="12.7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3" ht="12.75">
      <c r="A2" s="59"/>
      <c r="B2" s="59"/>
      <c r="C2" s="59"/>
      <c r="D2" s="59"/>
      <c r="E2" s="60" t="s">
        <v>25</v>
      </c>
      <c r="F2" s="60"/>
      <c r="G2" s="60"/>
      <c r="H2" s="61" t="s">
        <v>26</v>
      </c>
      <c r="I2" s="61"/>
      <c r="J2" s="61"/>
      <c r="K2" s="62" t="s">
        <v>27</v>
      </c>
      <c r="L2" s="62"/>
      <c r="M2" s="62"/>
    </row>
    <row r="3" spans="1:13" ht="12.75">
      <c r="A3" s="59"/>
      <c r="B3" s="59"/>
      <c r="C3" s="59"/>
      <c r="D3" s="59"/>
      <c r="E3" s="34" t="s">
        <v>28</v>
      </c>
      <c r="F3" s="34" t="s">
        <v>29</v>
      </c>
      <c r="G3" s="34" t="s">
        <v>30</v>
      </c>
      <c r="H3" s="35" t="s">
        <v>28</v>
      </c>
      <c r="I3" s="35" t="s">
        <v>29</v>
      </c>
      <c r="J3" s="35" t="s">
        <v>30</v>
      </c>
      <c r="K3" s="36" t="s">
        <v>28</v>
      </c>
      <c r="L3" s="36" t="s">
        <v>29</v>
      </c>
      <c r="M3" s="36" t="s">
        <v>30</v>
      </c>
    </row>
    <row r="4" spans="1:13" ht="12.75">
      <c r="A4" s="57" t="s">
        <v>13</v>
      </c>
      <c r="B4" s="57"/>
      <c r="C4" s="57"/>
      <c r="D4" s="57"/>
      <c r="E4" s="37">
        <v>10226.56</v>
      </c>
      <c r="F4" s="37">
        <v>0</v>
      </c>
      <c r="G4" s="37">
        <f>E4-F4</f>
        <v>10226.56</v>
      </c>
      <c r="H4" s="38">
        <v>5375.44</v>
      </c>
      <c r="I4" s="38">
        <v>0</v>
      </c>
      <c r="J4" s="38">
        <f>H4-I4</f>
        <v>5375.44</v>
      </c>
      <c r="K4" s="39">
        <v>881.6</v>
      </c>
      <c r="L4" s="39">
        <v>0</v>
      </c>
      <c r="M4" s="39">
        <f>K4-L4</f>
        <v>881.6</v>
      </c>
    </row>
    <row r="5" spans="1:13" ht="12.75">
      <c r="A5" s="56" t="s">
        <v>14</v>
      </c>
      <c r="B5" s="56"/>
      <c r="C5" s="56"/>
      <c r="D5" s="46"/>
      <c r="E5" s="37">
        <v>12606.88</v>
      </c>
      <c r="F5" s="37">
        <f>3570.48+3173.76+1013.84</f>
        <v>7758.08</v>
      </c>
      <c r="G5" s="37">
        <f aca="true" t="shared" si="0" ref="G5:G13">E5-F5</f>
        <v>4848.799999999999</v>
      </c>
      <c r="H5" s="38">
        <v>6626.62</v>
      </c>
      <c r="I5" s="38">
        <f>1876.77+1668.24+532.91</f>
        <v>4077.92</v>
      </c>
      <c r="J5" s="38">
        <f aca="true" t="shared" si="1" ref="J5:J13">H5-I5</f>
        <v>2548.7</v>
      </c>
      <c r="K5" s="39">
        <v>749.36</v>
      </c>
      <c r="L5" s="39">
        <f>278.15+304.34+120.34</f>
        <v>702.83</v>
      </c>
      <c r="M5" s="39">
        <f aca="true" t="shared" si="2" ref="M5:M13">K5-L5</f>
        <v>46.52999999999997</v>
      </c>
    </row>
    <row r="6" spans="1:13" ht="12.75">
      <c r="A6" s="56" t="s">
        <v>17</v>
      </c>
      <c r="B6" s="56"/>
      <c r="C6" s="56"/>
      <c r="D6" s="46"/>
      <c r="E6" s="37">
        <v>12695.04</v>
      </c>
      <c r="F6" s="37">
        <f>5113.28+5289.6+1057.92</f>
        <v>11460.800000000001</v>
      </c>
      <c r="G6" s="37">
        <f t="shared" si="0"/>
        <v>1234.2399999999998</v>
      </c>
      <c r="H6" s="38">
        <v>6672.96</v>
      </c>
      <c r="I6" s="38">
        <f>2687.72+2780.4+556.08</f>
        <v>6024.2</v>
      </c>
      <c r="J6" s="38">
        <f t="shared" si="1"/>
        <v>648.7600000000002</v>
      </c>
      <c r="K6" s="39">
        <v>484.96</v>
      </c>
      <c r="L6" s="39">
        <f>340.75+202.32+90.8</f>
        <v>633.8699999999999</v>
      </c>
      <c r="M6" s="39">
        <f t="shared" si="2"/>
        <v>-148.9099999999999</v>
      </c>
    </row>
    <row r="7" spans="1:13" ht="12.75">
      <c r="A7" s="56" t="s">
        <v>19</v>
      </c>
      <c r="B7" s="56"/>
      <c r="C7" s="56"/>
      <c r="D7" s="46"/>
      <c r="E7" s="37">
        <v>12210.16</v>
      </c>
      <c r="F7" s="37">
        <f>3967.2+5201.44+1719.12</f>
        <v>10887.759999999998</v>
      </c>
      <c r="G7" s="37">
        <f t="shared" si="0"/>
        <v>1322.4000000000015</v>
      </c>
      <c r="H7" s="38">
        <v>6418.09</v>
      </c>
      <c r="I7" s="38">
        <f>2085.3+2734.06+903.63</f>
        <v>5722.990000000001</v>
      </c>
      <c r="J7" s="38">
        <f t="shared" si="1"/>
        <v>695.0999999999995</v>
      </c>
      <c r="K7" s="39">
        <v>1102</v>
      </c>
      <c r="L7" s="39">
        <f>159.16+365.55+75.83</f>
        <v>600.5400000000001</v>
      </c>
      <c r="M7" s="39">
        <f t="shared" si="2"/>
        <v>501.4599999999999</v>
      </c>
    </row>
    <row r="8" spans="1:13" ht="12.75">
      <c r="A8" s="56" t="s">
        <v>21</v>
      </c>
      <c r="B8" s="56"/>
      <c r="C8" s="56"/>
      <c r="D8" s="46"/>
      <c r="E8" s="37">
        <v>13286.64</v>
      </c>
      <c r="F8" s="37">
        <f>4095.96+8724.36+1057.92</f>
        <v>13878.24</v>
      </c>
      <c r="G8" s="37">
        <f t="shared" si="0"/>
        <v>-591.6000000000004</v>
      </c>
      <c r="H8" s="38">
        <v>6924.84</v>
      </c>
      <c r="I8" s="38">
        <f>2150.84+4583.69+556.08</f>
        <v>7290.61</v>
      </c>
      <c r="J8" s="38">
        <f t="shared" si="1"/>
        <v>-365.7699999999995</v>
      </c>
      <c r="K8" s="39">
        <v>1155.33</v>
      </c>
      <c r="L8" s="39">
        <f>419.59+539.97+122.44</f>
        <v>1082</v>
      </c>
      <c r="M8" s="39">
        <f t="shared" si="2"/>
        <v>73.32999999999993</v>
      </c>
    </row>
    <row r="9" spans="1:13" ht="12.75">
      <c r="A9" s="56" t="s">
        <v>0</v>
      </c>
      <c r="B9" s="56"/>
      <c r="C9" s="56"/>
      <c r="D9" s="46"/>
      <c r="E9" s="37">
        <v>14442</v>
      </c>
      <c r="F9" s="37">
        <f>4380.74+9214.5+144.42</f>
        <v>13739.66</v>
      </c>
      <c r="G9" s="37">
        <f t="shared" si="0"/>
        <v>702.3400000000001</v>
      </c>
      <c r="H9" s="38">
        <v>7527</v>
      </c>
      <c r="I9" s="38">
        <f>2283.19+4853.46+75.27</f>
        <v>7211.92</v>
      </c>
      <c r="J9" s="38">
        <f t="shared" si="1"/>
        <v>315.0799999999999</v>
      </c>
      <c r="K9" s="39">
        <v>625.82</v>
      </c>
      <c r="L9" s="39">
        <f>374.63+736.65+23.11</f>
        <v>1134.3899999999999</v>
      </c>
      <c r="M9" s="39">
        <f t="shared" si="2"/>
        <v>-508.5699999999998</v>
      </c>
    </row>
    <row r="10" spans="1:13" ht="12.75">
      <c r="A10" s="56" t="s">
        <v>1</v>
      </c>
      <c r="B10" s="56"/>
      <c r="C10" s="56"/>
      <c r="D10" s="46"/>
      <c r="E10" s="37">
        <f>13094.08</f>
        <v>13094.08</v>
      </c>
      <c r="F10" s="37">
        <f>6301.12+7863.6+722.1</f>
        <v>14886.820000000002</v>
      </c>
      <c r="G10" s="37">
        <f t="shared" si="0"/>
        <v>-1792.7400000000016</v>
      </c>
      <c r="H10" s="38">
        <v>6824.48</v>
      </c>
      <c r="I10" s="38">
        <f>3288.97+4061.95+376.35</f>
        <v>7727.27</v>
      </c>
      <c r="J10" s="38">
        <f t="shared" si="1"/>
        <v>-902.7900000000009</v>
      </c>
      <c r="K10" s="39">
        <v>1020.62</v>
      </c>
      <c r="L10" s="39">
        <f>311.69+321.19+44.3</f>
        <v>677.18</v>
      </c>
      <c r="M10" s="39">
        <f t="shared" si="2"/>
        <v>343.44000000000005</v>
      </c>
    </row>
    <row r="11" spans="1:13" ht="12.75">
      <c r="A11" s="56" t="s">
        <v>2</v>
      </c>
      <c r="B11" s="56"/>
      <c r="C11" s="56"/>
      <c r="D11" s="46"/>
      <c r="E11" s="37">
        <v>12275.7</v>
      </c>
      <c r="F11" s="37">
        <f>2503.28+12772.76</f>
        <v>15276.04</v>
      </c>
      <c r="G11" s="37">
        <f t="shared" si="0"/>
        <v>-3000.34</v>
      </c>
      <c r="H11" s="38">
        <v>6397.95</v>
      </c>
      <c r="I11" s="38">
        <f>1304.68+6658.61</f>
        <v>7963.29</v>
      </c>
      <c r="J11" s="38">
        <f t="shared" si="1"/>
        <v>-1565.3400000000001</v>
      </c>
      <c r="K11" s="39">
        <v>182.97</v>
      </c>
      <c r="L11" s="39">
        <f>202.2+859.51</f>
        <v>1061.71</v>
      </c>
      <c r="M11" s="39">
        <f t="shared" si="2"/>
        <v>-878.74</v>
      </c>
    </row>
    <row r="12" spans="1:13" ht="12.75">
      <c r="A12" s="56" t="s">
        <v>3</v>
      </c>
      <c r="B12" s="56"/>
      <c r="C12" s="56"/>
      <c r="D12" s="46"/>
      <c r="E12" s="37">
        <v>12420.12</v>
      </c>
      <c r="F12" s="37">
        <f>3754.92+7124.02</f>
        <v>10878.94</v>
      </c>
      <c r="G12" s="37">
        <f t="shared" si="0"/>
        <v>1541.1800000000003</v>
      </c>
      <c r="H12" s="38">
        <v>6473.22</v>
      </c>
      <c r="I12" s="38">
        <f>1957.02+3828.54</f>
        <v>5785.5599999999995</v>
      </c>
      <c r="J12" s="38">
        <f t="shared" si="1"/>
        <v>687.6600000000008</v>
      </c>
      <c r="K12" s="39">
        <v>674</v>
      </c>
      <c r="L12" s="39">
        <f>97.27+262.36</f>
        <v>359.63</v>
      </c>
      <c r="M12" s="39">
        <f t="shared" si="2"/>
        <v>314.37</v>
      </c>
    </row>
    <row r="13" spans="1:13" ht="12.75">
      <c r="A13" s="56" t="s">
        <v>10</v>
      </c>
      <c r="B13" s="56"/>
      <c r="C13" s="56"/>
      <c r="D13" s="46"/>
      <c r="E13" s="37">
        <v>11601.74</v>
      </c>
      <c r="F13" s="37">
        <f>7895.66+5787</f>
        <v>13682.66</v>
      </c>
      <c r="G13" s="37">
        <f t="shared" si="0"/>
        <v>-2080.92</v>
      </c>
      <c r="H13" s="38">
        <v>6046.69</v>
      </c>
      <c r="I13" s="38">
        <f>3999.51+3366.55</f>
        <v>7366.06</v>
      </c>
      <c r="J13" s="38">
        <f t="shared" si="1"/>
        <v>-1319.3700000000008</v>
      </c>
      <c r="K13" s="39">
        <v>529.54</v>
      </c>
      <c r="L13" s="39">
        <f>445.41+357.33</f>
        <v>802.74</v>
      </c>
      <c r="M13" s="39">
        <f t="shared" si="2"/>
        <v>-273.20000000000005</v>
      </c>
    </row>
    <row r="14" spans="1:13" ht="12.75">
      <c r="A14" s="56" t="s">
        <v>31</v>
      </c>
      <c r="B14" s="56"/>
      <c r="C14" s="56"/>
      <c r="D14" s="46"/>
      <c r="E14" s="40">
        <f aca="true" t="shared" si="3" ref="E14:M14">SUM(E4:E13)</f>
        <v>124858.92</v>
      </c>
      <c r="F14" s="40">
        <f t="shared" si="3"/>
        <v>112449</v>
      </c>
      <c r="G14" s="40">
        <f t="shared" si="3"/>
        <v>12409.92</v>
      </c>
      <c r="H14" s="40">
        <f t="shared" si="3"/>
        <v>65287.28999999999</v>
      </c>
      <c r="I14" s="40">
        <f t="shared" si="3"/>
        <v>59169.82</v>
      </c>
      <c r="J14" s="40">
        <f t="shared" si="3"/>
        <v>6117.469999999998</v>
      </c>
      <c r="K14" s="40">
        <f t="shared" si="3"/>
        <v>7406.2</v>
      </c>
      <c r="L14" s="40">
        <f t="shared" si="3"/>
        <v>7054.889999999999</v>
      </c>
      <c r="M14" s="40">
        <f t="shared" si="3"/>
        <v>351.31000000000006</v>
      </c>
    </row>
    <row r="18" spans="1:17" ht="12.75">
      <c r="A18" s="42" t="s">
        <v>23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6"/>
    </row>
    <row r="19" spans="1:17" ht="12.75" customHeight="1">
      <c r="A19" s="7"/>
      <c r="B19" s="8" t="s">
        <v>5</v>
      </c>
      <c r="C19" s="9" t="s">
        <v>6</v>
      </c>
      <c r="D19" s="10"/>
      <c r="E19" s="41" t="s">
        <v>15</v>
      </c>
      <c r="F19" s="41"/>
      <c r="G19" s="41"/>
      <c r="H19" s="53" t="s">
        <v>33</v>
      </c>
      <c r="I19" s="53" t="s">
        <v>34</v>
      </c>
      <c r="J19" s="53" t="s">
        <v>35</v>
      </c>
      <c r="K19" s="53" t="s">
        <v>36</v>
      </c>
      <c r="L19" s="43" t="s">
        <v>9</v>
      </c>
      <c r="M19" s="44"/>
      <c r="N19" s="45"/>
      <c r="O19" s="47" t="s">
        <v>8</v>
      </c>
      <c r="P19" s="50" t="s">
        <v>4</v>
      </c>
      <c r="Q19" s="23" t="s">
        <v>18</v>
      </c>
    </row>
    <row r="20" spans="1:17" ht="13.5" customHeight="1" thickBot="1">
      <c r="A20" s="7"/>
      <c r="B20" s="11"/>
      <c r="C20" s="12" t="s">
        <v>7</v>
      </c>
      <c r="D20" s="13"/>
      <c r="E20" s="14" t="s">
        <v>42</v>
      </c>
      <c r="F20" s="13" t="s">
        <v>43</v>
      </c>
      <c r="G20" s="13" t="s">
        <v>16</v>
      </c>
      <c r="H20" s="54"/>
      <c r="I20" s="54"/>
      <c r="J20" s="54"/>
      <c r="K20" s="54"/>
      <c r="L20" s="53" t="s">
        <v>37</v>
      </c>
      <c r="M20" s="53" t="s">
        <v>38</v>
      </c>
      <c r="N20" s="53" t="s">
        <v>39</v>
      </c>
      <c r="O20" s="48"/>
      <c r="P20" s="51"/>
      <c r="Q20" s="25"/>
    </row>
    <row r="21" spans="1:17" ht="35.25" customHeight="1" thickBot="1">
      <c r="A21" s="7"/>
      <c r="B21" s="11">
        <v>1665.3</v>
      </c>
      <c r="C21" s="12">
        <v>72</v>
      </c>
      <c r="D21" s="13"/>
      <c r="E21" s="14"/>
      <c r="F21" s="31"/>
      <c r="G21" s="22">
        <v>-157063.47</v>
      </c>
      <c r="H21" s="55"/>
      <c r="I21" s="55"/>
      <c r="J21" s="55"/>
      <c r="K21" s="55"/>
      <c r="L21" s="55"/>
      <c r="M21" s="55"/>
      <c r="N21" s="55"/>
      <c r="O21" s="49"/>
      <c r="P21" s="52"/>
      <c r="Q21" s="28">
        <v>0</v>
      </c>
    </row>
    <row r="22" spans="1:17" ht="12.75">
      <c r="A22" s="15" t="s">
        <v>11</v>
      </c>
      <c r="B22" s="16"/>
      <c r="C22" s="17"/>
      <c r="D22" s="14"/>
      <c r="E22" s="1">
        <f>4197.6+1328.8</f>
        <v>5526.400000000001</v>
      </c>
      <c r="F22" s="1">
        <f>1399.25+496.8</f>
        <v>1896.05</v>
      </c>
      <c r="G22" s="20">
        <f aca="true" t="shared" si="4" ref="G22:G33">SUM(E22:F22)</f>
        <v>7422.450000000001</v>
      </c>
      <c r="H22" s="2">
        <f aca="true" t="shared" si="5" ref="H22:H33">SUM(G22*0.09)</f>
        <v>668.0205000000001</v>
      </c>
      <c r="I22" s="2">
        <v>0</v>
      </c>
      <c r="J22" s="3">
        <v>2904.76</v>
      </c>
      <c r="K22" s="3">
        <v>0</v>
      </c>
      <c r="L22" s="3">
        <f>B21*1.4</f>
        <v>2331.4199999999996</v>
      </c>
      <c r="M22" s="3">
        <v>1332</v>
      </c>
      <c r="N22" s="4">
        <f aca="true" t="shared" si="6" ref="N22:N33">SUM(G22*0.15)</f>
        <v>1113.3675</v>
      </c>
      <c r="O22" s="5">
        <f aca="true" t="shared" si="7" ref="O22:O33">SUM(H22:N22)</f>
        <v>8349.568</v>
      </c>
      <c r="P22" s="18">
        <f aca="true" t="shared" si="8" ref="P22:P34">G22-O22</f>
        <v>-927.1179999999986</v>
      </c>
      <c r="Q22" s="26">
        <v>165.2</v>
      </c>
    </row>
    <row r="23" spans="1:17" ht="12.75">
      <c r="A23" s="15" t="s">
        <v>12</v>
      </c>
      <c r="B23" s="16"/>
      <c r="C23" s="17"/>
      <c r="D23" s="14"/>
      <c r="E23" s="1">
        <f>5849.8+3062.4</f>
        <v>8912.2</v>
      </c>
      <c r="F23" s="1">
        <f>1718.6+1073.8</f>
        <v>2792.3999999999996</v>
      </c>
      <c r="G23" s="20">
        <f t="shared" si="4"/>
        <v>11704.6</v>
      </c>
      <c r="H23" s="2">
        <f t="shared" si="5"/>
        <v>1053.414</v>
      </c>
      <c r="I23" s="2">
        <v>0</v>
      </c>
      <c r="J23" s="3">
        <v>2904.76</v>
      </c>
      <c r="K23" s="3">
        <v>0</v>
      </c>
      <c r="L23" s="3">
        <v>2331.42</v>
      </c>
      <c r="M23" s="3">
        <v>1332</v>
      </c>
      <c r="N23" s="4">
        <f t="shared" si="6"/>
        <v>1755.69</v>
      </c>
      <c r="O23" s="5">
        <f t="shared" si="7"/>
        <v>9377.284</v>
      </c>
      <c r="P23" s="18">
        <f t="shared" si="8"/>
        <v>2327.3160000000007</v>
      </c>
      <c r="Q23" s="26">
        <v>0</v>
      </c>
    </row>
    <row r="24" spans="1:17" ht="12.75">
      <c r="A24" s="15" t="s">
        <v>13</v>
      </c>
      <c r="B24" s="16"/>
      <c r="C24" s="17"/>
      <c r="D24" s="14"/>
      <c r="E24" s="1">
        <f>6148+4408.8</f>
        <v>10556.8</v>
      </c>
      <c r="F24" s="1">
        <f>1818+1339.2</f>
        <v>3157.2</v>
      </c>
      <c r="G24" s="20">
        <f t="shared" si="4"/>
        <v>13714</v>
      </c>
      <c r="H24" s="2">
        <f t="shared" si="5"/>
        <v>1234.26</v>
      </c>
      <c r="I24" s="2">
        <v>1665.3</v>
      </c>
      <c r="J24" s="3">
        <v>2904.76</v>
      </c>
      <c r="K24" s="3">
        <v>0</v>
      </c>
      <c r="L24" s="3">
        <v>2331.42</v>
      </c>
      <c r="M24" s="3">
        <f>1332+2000</f>
        <v>3332</v>
      </c>
      <c r="N24" s="4">
        <f t="shared" si="6"/>
        <v>2057.1</v>
      </c>
      <c r="O24" s="5">
        <f t="shared" si="7"/>
        <v>13524.84</v>
      </c>
      <c r="P24" s="18">
        <f t="shared" si="8"/>
        <v>189.15999999999985</v>
      </c>
      <c r="Q24" s="26">
        <v>0</v>
      </c>
    </row>
    <row r="25" spans="1:17" ht="12.75">
      <c r="A25" s="15" t="s">
        <v>14</v>
      </c>
      <c r="B25" s="16"/>
      <c r="C25" s="17"/>
      <c r="D25" s="14"/>
      <c r="E25" s="1">
        <f>4068+2736.2+292</f>
        <v>7096.2</v>
      </c>
      <c r="F25" s="1">
        <f>1356+908.8+97.6</f>
        <v>2362.4</v>
      </c>
      <c r="G25" s="20">
        <f t="shared" si="4"/>
        <v>9458.6</v>
      </c>
      <c r="H25" s="2">
        <f t="shared" si="5"/>
        <v>851.274</v>
      </c>
      <c r="I25" s="2">
        <v>1665.3</v>
      </c>
      <c r="J25" s="3">
        <v>2904.76</v>
      </c>
      <c r="K25" s="3">
        <v>0</v>
      </c>
      <c r="L25" s="3">
        <v>2331.42</v>
      </c>
      <c r="M25" s="3">
        <f>1332+1515</f>
        <v>2847</v>
      </c>
      <c r="N25" s="4">
        <f t="shared" si="6"/>
        <v>1418.79</v>
      </c>
      <c r="O25" s="5">
        <f t="shared" si="7"/>
        <v>12018.544000000002</v>
      </c>
      <c r="P25" s="18">
        <f t="shared" si="8"/>
        <v>-2559.9440000000013</v>
      </c>
      <c r="Q25" s="26">
        <v>0</v>
      </c>
    </row>
    <row r="26" spans="1:17" ht="12.75">
      <c r="A26" s="15" t="s">
        <v>17</v>
      </c>
      <c r="B26" s="16"/>
      <c r="C26" s="17"/>
      <c r="D26" s="14"/>
      <c r="E26" s="1">
        <f>6932.5+3735+2843.4</f>
        <v>13510.9</v>
      </c>
      <c r="F26" s="1">
        <f>1771.18+1139.7+1167.36</f>
        <v>4078.24</v>
      </c>
      <c r="G26" s="20">
        <f t="shared" si="4"/>
        <v>17589.14</v>
      </c>
      <c r="H26" s="2">
        <f t="shared" si="5"/>
        <v>1583.0225999999998</v>
      </c>
      <c r="I26" s="2">
        <v>1665.3</v>
      </c>
      <c r="J26" s="3">
        <v>2904.76</v>
      </c>
      <c r="K26" s="3">
        <v>8808</v>
      </c>
      <c r="L26" s="3">
        <v>2331.42</v>
      </c>
      <c r="M26" s="3">
        <v>1332</v>
      </c>
      <c r="N26" s="4">
        <f t="shared" si="6"/>
        <v>2638.3709999999996</v>
      </c>
      <c r="O26" s="5">
        <f t="shared" si="7"/>
        <v>21262.8736</v>
      </c>
      <c r="P26" s="18">
        <f t="shared" si="8"/>
        <v>-3673.7335999999996</v>
      </c>
      <c r="Q26" s="26">
        <v>66.6</v>
      </c>
    </row>
    <row r="27" spans="1:17" ht="12.75">
      <c r="A27" s="15" t="s">
        <v>19</v>
      </c>
      <c r="B27" s="16"/>
      <c r="C27" s="17"/>
      <c r="D27" s="14"/>
      <c r="E27" s="1">
        <f>4174.8+3500.96+1250.55</f>
        <v>8926.31</v>
      </c>
      <c r="F27" s="1">
        <f>1192.8+1031.7+315.1</f>
        <v>2539.6</v>
      </c>
      <c r="G27" s="20">
        <f t="shared" si="4"/>
        <v>11465.91</v>
      </c>
      <c r="H27" s="2">
        <f t="shared" si="5"/>
        <v>1031.9319</v>
      </c>
      <c r="I27" s="2">
        <v>1665.3</v>
      </c>
      <c r="J27" s="3">
        <v>2904.76</v>
      </c>
      <c r="K27" s="3">
        <v>1258</v>
      </c>
      <c r="L27" s="3">
        <v>2331.42</v>
      </c>
      <c r="M27" s="3">
        <v>1332</v>
      </c>
      <c r="N27" s="4">
        <f t="shared" si="6"/>
        <v>1719.8864999999998</v>
      </c>
      <c r="O27" s="5">
        <f t="shared" si="7"/>
        <v>12243.2984</v>
      </c>
      <c r="P27" s="18">
        <f t="shared" si="8"/>
        <v>-777.3883999999998</v>
      </c>
      <c r="Q27" s="26">
        <v>0</v>
      </c>
    </row>
    <row r="28" spans="1:17" ht="12.75">
      <c r="A28" s="15" t="s">
        <v>21</v>
      </c>
      <c r="B28" s="16"/>
      <c r="C28" s="17"/>
      <c r="D28" s="14"/>
      <c r="E28" s="1">
        <f>4091.5+4955.1+1297.45</f>
        <v>10344.050000000001</v>
      </c>
      <c r="F28" s="1">
        <f>1168.22+1572.3+370.8</f>
        <v>3111.32</v>
      </c>
      <c r="G28" s="20">
        <f t="shared" si="4"/>
        <v>13455.37</v>
      </c>
      <c r="H28" s="2">
        <f t="shared" si="5"/>
        <v>1210.9833</v>
      </c>
      <c r="I28" s="2">
        <v>1665.3</v>
      </c>
      <c r="J28" s="3">
        <v>2904.76</v>
      </c>
      <c r="K28" s="3">
        <v>0</v>
      </c>
      <c r="L28" s="3">
        <v>2331.42</v>
      </c>
      <c r="M28" s="3">
        <v>1332</v>
      </c>
      <c r="N28" s="4">
        <f t="shared" si="6"/>
        <v>2018.3055</v>
      </c>
      <c r="O28" s="5">
        <f t="shared" si="7"/>
        <v>11462.7688</v>
      </c>
      <c r="P28" s="18">
        <f t="shared" si="8"/>
        <v>1992.601200000001</v>
      </c>
      <c r="Q28" s="26">
        <v>0</v>
      </c>
    </row>
    <row r="29" spans="1:17" ht="12.75">
      <c r="A29" s="15" t="s">
        <v>0</v>
      </c>
      <c r="B29" s="16"/>
      <c r="C29" s="17"/>
      <c r="D29" s="14"/>
      <c r="E29" s="1">
        <f>3547.6+6520.6+233.1</f>
        <v>10301.300000000001</v>
      </c>
      <c r="F29" s="1">
        <f>1013.6+1749+66.6</f>
        <v>2829.2</v>
      </c>
      <c r="G29" s="20">
        <f t="shared" si="4"/>
        <v>13130.5</v>
      </c>
      <c r="H29" s="2">
        <f t="shared" si="5"/>
        <v>1181.745</v>
      </c>
      <c r="I29" s="2">
        <v>1665.3</v>
      </c>
      <c r="J29" s="3">
        <v>2904.76</v>
      </c>
      <c r="K29" s="3">
        <v>0</v>
      </c>
      <c r="L29" s="3">
        <v>2331.42</v>
      </c>
      <c r="M29" s="3">
        <v>1332</v>
      </c>
      <c r="N29" s="4">
        <f t="shared" si="6"/>
        <v>1969.5749999999998</v>
      </c>
      <c r="O29" s="5">
        <f t="shared" si="7"/>
        <v>11384.8</v>
      </c>
      <c r="P29" s="18">
        <f t="shared" si="8"/>
        <v>1745.7000000000007</v>
      </c>
      <c r="Q29" s="26">
        <v>0</v>
      </c>
    </row>
    <row r="30" spans="1:17" ht="12.75">
      <c r="A30" s="15" t="s">
        <v>1</v>
      </c>
      <c r="B30" s="16"/>
      <c r="C30" s="17"/>
      <c r="D30" s="14"/>
      <c r="E30" s="1">
        <f>5555.9+7178.44+466.2</f>
        <v>13200.54</v>
      </c>
      <c r="F30" s="1">
        <f>1587.4+1418+133.2</f>
        <v>3138.6</v>
      </c>
      <c r="G30" s="20">
        <f t="shared" si="4"/>
        <v>16339.140000000001</v>
      </c>
      <c r="H30" s="2">
        <f t="shared" si="5"/>
        <v>1470.5226</v>
      </c>
      <c r="I30" s="2">
        <v>1665.3</v>
      </c>
      <c r="J30" s="3">
        <v>2904.76</v>
      </c>
      <c r="K30" s="3">
        <f>7643+2480+4158</f>
        <v>14281</v>
      </c>
      <c r="L30" s="3">
        <v>2331.42</v>
      </c>
      <c r="M30" s="3">
        <v>1545.12</v>
      </c>
      <c r="N30" s="4">
        <f t="shared" si="6"/>
        <v>2450.871</v>
      </c>
      <c r="O30" s="5">
        <f t="shared" si="7"/>
        <v>26648.993599999998</v>
      </c>
      <c r="P30" s="18">
        <f t="shared" si="8"/>
        <v>-10309.853599999997</v>
      </c>
      <c r="Q30" s="26">
        <v>0</v>
      </c>
    </row>
    <row r="31" spans="1:17" ht="12.75">
      <c r="A31" s="15" t="s">
        <v>2</v>
      </c>
      <c r="B31" s="16"/>
      <c r="C31" s="17"/>
      <c r="D31" s="14"/>
      <c r="E31" s="1">
        <f>2321.2+12574.36</f>
        <v>14895.560000000001</v>
      </c>
      <c r="F31" s="1">
        <f>663.2+3071</f>
        <v>3734.2</v>
      </c>
      <c r="G31" s="20">
        <f t="shared" si="4"/>
        <v>18629.760000000002</v>
      </c>
      <c r="H31" s="2">
        <f t="shared" si="5"/>
        <v>1676.6784</v>
      </c>
      <c r="I31" s="2">
        <v>1665.3</v>
      </c>
      <c r="J31" s="3">
        <v>2904.76</v>
      </c>
      <c r="K31" s="3">
        <v>19180</v>
      </c>
      <c r="L31" s="3">
        <v>2331.42</v>
      </c>
      <c r="M31" s="3">
        <v>1545.12</v>
      </c>
      <c r="N31" s="4">
        <f t="shared" si="6"/>
        <v>2794.4640000000004</v>
      </c>
      <c r="O31" s="5">
        <f t="shared" si="7"/>
        <v>32097.7424</v>
      </c>
      <c r="P31" s="18">
        <f t="shared" si="8"/>
        <v>-13467.982399999997</v>
      </c>
      <c r="Q31" s="26">
        <v>100.4</v>
      </c>
    </row>
    <row r="32" spans="1:17" ht="12.75">
      <c r="A32" s="15" t="s">
        <v>3</v>
      </c>
      <c r="B32" s="16"/>
      <c r="C32" s="17"/>
      <c r="D32" s="14"/>
      <c r="E32" s="1">
        <f>4281.2+5912</f>
        <v>10193.2</v>
      </c>
      <c r="F32" s="1">
        <f>1223.2+1532.6</f>
        <v>2755.8</v>
      </c>
      <c r="G32" s="20">
        <f t="shared" si="4"/>
        <v>12949</v>
      </c>
      <c r="H32" s="2">
        <f t="shared" si="5"/>
        <v>1165.4099999999999</v>
      </c>
      <c r="I32" s="2">
        <v>1665.3</v>
      </c>
      <c r="J32" s="3">
        <v>2904.76</v>
      </c>
      <c r="K32" s="3">
        <v>0</v>
      </c>
      <c r="L32" s="3">
        <v>2331.42</v>
      </c>
      <c r="M32" s="3">
        <v>1545.12</v>
      </c>
      <c r="N32" s="4">
        <f t="shared" si="6"/>
        <v>1942.35</v>
      </c>
      <c r="O32" s="5">
        <f t="shared" si="7"/>
        <v>11554.36</v>
      </c>
      <c r="P32" s="18">
        <f t="shared" si="8"/>
        <v>1394.6399999999994</v>
      </c>
      <c r="Q32" s="26">
        <v>0</v>
      </c>
    </row>
    <row r="33" spans="1:17" ht="12.75">
      <c r="A33" s="15" t="s">
        <v>10</v>
      </c>
      <c r="B33" s="16"/>
      <c r="C33" s="17"/>
      <c r="D33" s="14"/>
      <c r="E33" s="1">
        <f>8320.2+5605.4</f>
        <v>13925.6</v>
      </c>
      <c r="F33" s="1">
        <f>2377.2+1485</f>
        <v>3862.2</v>
      </c>
      <c r="G33" s="20">
        <f t="shared" si="4"/>
        <v>17787.8</v>
      </c>
      <c r="H33" s="2">
        <f t="shared" si="5"/>
        <v>1600.9019999999998</v>
      </c>
      <c r="I33" s="2">
        <v>1665.3</v>
      </c>
      <c r="J33" s="3">
        <v>2904.76</v>
      </c>
      <c r="K33" s="3">
        <v>408</v>
      </c>
      <c r="L33" s="3">
        <v>2331.42</v>
      </c>
      <c r="M33" s="3">
        <v>1545.12</v>
      </c>
      <c r="N33" s="4">
        <f t="shared" si="6"/>
        <v>2668.1699999999996</v>
      </c>
      <c r="O33" s="5">
        <f t="shared" si="7"/>
        <v>13123.672</v>
      </c>
      <c r="P33" s="18">
        <f t="shared" si="8"/>
        <v>4664.127999999999</v>
      </c>
      <c r="Q33" s="26">
        <v>0</v>
      </c>
    </row>
    <row r="34" spans="1:17" ht="12.75">
      <c r="A34" s="27" t="s">
        <v>16</v>
      </c>
      <c r="B34" s="27"/>
      <c r="C34" s="27"/>
      <c r="D34" s="27"/>
      <c r="E34" s="21">
        <f>SUM(E22:E33)</f>
        <v>127389.06000000001</v>
      </c>
      <c r="F34" s="21">
        <f>SUM(F22:F33)</f>
        <v>36257.21</v>
      </c>
      <c r="G34" s="24">
        <f>SUM(G21:G33)</f>
        <v>6582.800000000021</v>
      </c>
      <c r="H34" s="21">
        <f aca="true" t="shared" si="9" ref="H34:O34">SUM(H22:H33)</f>
        <v>14728.164299999999</v>
      </c>
      <c r="I34" s="21">
        <f t="shared" si="9"/>
        <v>16652.999999999996</v>
      </c>
      <c r="J34" s="21">
        <f t="shared" si="9"/>
        <v>34857.12000000001</v>
      </c>
      <c r="K34" s="21">
        <f t="shared" si="9"/>
        <v>43935</v>
      </c>
      <c r="L34" s="21">
        <f t="shared" si="9"/>
        <v>27977.039999999994</v>
      </c>
      <c r="M34" s="21">
        <f t="shared" si="9"/>
        <v>20351.479999999996</v>
      </c>
      <c r="N34" s="21">
        <f t="shared" si="9"/>
        <v>24546.940499999997</v>
      </c>
      <c r="O34" s="21">
        <f t="shared" si="9"/>
        <v>183048.74480000001</v>
      </c>
      <c r="P34" s="30">
        <f t="shared" si="8"/>
        <v>-176465.9448</v>
      </c>
      <c r="Q34" s="19">
        <f>SUM(Q21:Q33)</f>
        <v>332.2</v>
      </c>
    </row>
    <row r="35" ht="12.75">
      <c r="Q35" s="33">
        <f>Q34*0.91</f>
        <v>302.302</v>
      </c>
    </row>
    <row r="36" spans="5:11" ht="12.75">
      <c r="E36" t="s">
        <v>13</v>
      </c>
      <c r="F36" t="s">
        <v>32</v>
      </c>
      <c r="G36" t="s">
        <v>22</v>
      </c>
      <c r="K36" s="32"/>
    </row>
    <row r="37" spans="5:11" ht="12.75">
      <c r="E37" t="s">
        <v>14</v>
      </c>
      <c r="F37" t="s">
        <v>40</v>
      </c>
      <c r="G37" t="s">
        <v>41</v>
      </c>
      <c r="K37" s="32"/>
    </row>
    <row r="41" spans="6:13" ht="12.75">
      <c r="F41" s="29" t="s">
        <v>20</v>
      </c>
      <c r="G41" s="29"/>
      <c r="H41" s="29"/>
      <c r="I41" s="29"/>
      <c r="J41" s="29"/>
      <c r="K41" s="29"/>
      <c r="L41" s="29"/>
      <c r="M41" s="29"/>
    </row>
  </sheetData>
  <sheetProtection/>
  <mergeCells count="29">
    <mergeCell ref="A9:D9"/>
    <mergeCell ref="A14:D14"/>
    <mergeCell ref="A6:D6"/>
    <mergeCell ref="A12:D12"/>
    <mergeCell ref="L19:N19"/>
    <mergeCell ref="A11:D11"/>
    <mergeCell ref="A1:Q1"/>
    <mergeCell ref="A2:D2"/>
    <mergeCell ref="E2:G2"/>
    <mergeCell ref="H2:J2"/>
    <mergeCell ref="K2:M2"/>
    <mergeCell ref="A3:D3"/>
    <mergeCell ref="A4:D4"/>
    <mergeCell ref="A5:D5"/>
    <mergeCell ref="L20:L21"/>
    <mergeCell ref="M20:M21"/>
    <mergeCell ref="J19:J21"/>
    <mergeCell ref="A7:D7"/>
    <mergeCell ref="N20:N21"/>
    <mergeCell ref="A8:D8"/>
    <mergeCell ref="I19:I21"/>
    <mergeCell ref="A10:D10"/>
    <mergeCell ref="H19:H21"/>
    <mergeCell ref="A13:D13"/>
    <mergeCell ref="A18:P18"/>
    <mergeCell ref="E19:G19"/>
    <mergeCell ref="O19:O21"/>
    <mergeCell ref="P19:P21"/>
    <mergeCell ref="K19:K21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2015-02-05T09:24:38Z</cp:lastPrinted>
  <dcterms:created xsi:type="dcterms:W3CDTF">2007-02-04T12:22:59Z</dcterms:created>
  <dcterms:modified xsi:type="dcterms:W3CDTF">2016-02-03T04:29:39Z</dcterms:modified>
  <cp:category/>
  <cp:version/>
  <cp:contentType/>
  <cp:contentStatus/>
</cp:coreProperties>
</file>