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2015" sheetId="1" r:id="rId1"/>
  </sheets>
  <definedNames>
    <definedName name="_xlnm.Print_Area" localSheetId="0">'2015'!$A$46:$R$46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97р-замок навесной</t>
        </r>
      </text>
    </comment>
    <comment ref="M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мая 1000
</t>
        </r>
      </text>
    </comment>
    <comment ref="L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1050р-средство от блох</t>
        </r>
      </text>
    </comment>
  </commentList>
</comments>
</file>

<file path=xl/sharedStrings.xml><?xml version="1.0" encoding="utf-8"?>
<sst xmlns="http://schemas.openxmlformats.org/spreadsheetml/2006/main" count="68" uniqueCount="48">
  <si>
    <t>Площадь</t>
  </si>
  <si>
    <t xml:space="preserve">Кол-во </t>
  </si>
  <si>
    <t xml:space="preserve">Поступило </t>
  </si>
  <si>
    <t>Содержание</t>
  </si>
  <si>
    <t>квар.</t>
  </si>
  <si>
    <t>ремонт</t>
  </si>
  <si>
    <t>итого</t>
  </si>
  <si>
    <t>Расходы</t>
  </si>
  <si>
    <t>содер</t>
  </si>
  <si>
    <t>кап. Рем.</t>
  </si>
  <si>
    <t>Ген. директор ООО "Георгиевск - ЖЭУ"                                Никишина И.М.</t>
  </si>
  <si>
    <t>Тех.обслуж.</t>
  </si>
  <si>
    <t>июль</t>
  </si>
  <si>
    <t>август</t>
  </si>
  <si>
    <t>сентябрь</t>
  </si>
  <si>
    <t>октябрь</t>
  </si>
  <si>
    <t>Богданова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</si>
  <si>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</si>
  <si>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</si>
  <si>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</si>
  <si>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</si>
  <si>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</si>
  <si>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</si>
  <si>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</si>
  <si>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январь</t>
  </si>
  <si>
    <t>замок навесной</t>
  </si>
  <si>
    <t>ростелеком</t>
  </si>
  <si>
    <t>Учет доходов и расходов по Гагарина 234 на 2015 год</t>
  </si>
  <si>
    <t>97р</t>
  </si>
  <si>
    <t>Доходы и расходы по воде и стокам</t>
  </si>
  <si>
    <t>Вода</t>
  </si>
  <si>
    <t>Стоки</t>
  </si>
  <si>
    <t>Вода ОДН</t>
  </si>
  <si>
    <t>начислено</t>
  </si>
  <si>
    <t>оплачено</t>
  </si>
  <si>
    <t>долг</t>
  </si>
  <si>
    <t>Оплата банковских услуг и услуг ЕРКЦ</t>
  </si>
  <si>
    <t>Затраты по управлению</t>
  </si>
  <si>
    <t>Содержание придомовой территории</t>
  </si>
  <si>
    <t>Текущий ремонт</t>
  </si>
  <si>
    <t>аварийно-диспетчерское обслуживание</t>
  </si>
  <si>
    <t>Проф. обходы и осмотры, разное</t>
  </si>
  <si>
    <t>Обслуживание приборов учета</t>
  </si>
  <si>
    <t>Общие эксплутационные расходы</t>
  </si>
  <si>
    <t>Остаток на конец</t>
  </si>
  <si>
    <t>1050р</t>
  </si>
  <si>
    <t>средство от блох</t>
  </si>
  <si>
    <t>ИТОГО за 2015 год: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</si>
</sst>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р_."/>
    <numFmt numFmtId="182" formatCode="0.000"/>
    <numFmt numFmtId="183" formatCode="#,##0.000_р_."/>
    <numFmt numFmtId="184" formatCode="#,##0.0_р_."/>
    <numFmt numFmtId="185" formatCode="#,##0.00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1" fillId="35" borderId="13" xfId="0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0" fontId="2" fillId="35" borderId="15" xfId="0" applyFont="1" applyFill="1" applyBorder="1" applyAlignment="1">
      <alignment/>
    </xf>
    <xf numFmtId="0" fontId="0" fillId="36" borderId="10" xfId="0" applyFill="1" applyBorder="1" applyAlignment="1">
      <alignment/>
    </xf>
    <xf numFmtId="2" fontId="2" fillId="0" borderId="16" xfId="0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6" borderId="15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6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181" fontId="5" fillId="0" borderId="0" xfId="0" applyNumberFormat="1" applyFont="1" applyAlignment="1">
      <alignment/>
    </xf>
    <xf numFmtId="180" fontId="2" fillId="38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9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180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5"/>
  <sheetViews>
    <sheetView tabSelected="1" workbookViewId="0" topLeftCell="A10">
      <selection activeCell="N47" sqref="N47"/>
    </sheetView>
  </sheetViews>
  <sheetFormatPr defaultColWidth="9.140625" defaultRowHeight="12.75"/>
  <cols>
    <col min="1" max="1" width="5.421875" style="0" customWidth="1"/>
    <col min="2" max="2" width="0.71875" style="0" customWidth="1"/>
    <col min="3" max="3" width="1.8515625" style="0" customWidth="1"/>
    <col min="4" max="4" width="10.28125" style="0" customWidth="1"/>
    <col min="6" max="6" width="9.421875" style="0" customWidth="1"/>
    <col min="8" max="8" width="10.00390625" style="0" customWidth="1"/>
    <col min="9" max="9" width="9.7109375" style="0" customWidth="1"/>
    <col min="10" max="10" width="8.57421875" style="0" customWidth="1"/>
    <col min="12" max="12" width="9.57421875" style="0" customWidth="1"/>
    <col min="13" max="13" width="11.140625" style="0" customWidth="1"/>
    <col min="14" max="14" width="10.7109375" style="0" customWidth="1"/>
    <col min="15" max="15" width="8.57421875" style="0" customWidth="1"/>
    <col min="16" max="16" width="10.140625" style="0" customWidth="1"/>
    <col min="17" max="17" width="9.57421875" style="0" customWidth="1"/>
    <col min="18" max="18" width="9.8515625" style="0" bestFit="1" customWidth="1"/>
  </cols>
  <sheetData>
    <row r="1" spans="1:13" ht="12.7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2" ht="12.75">
      <c r="A2" s="55"/>
      <c r="B2" s="55"/>
      <c r="C2" s="55"/>
      <c r="D2" s="56" t="s">
        <v>30</v>
      </c>
      <c r="E2" s="56"/>
      <c r="F2" s="56"/>
      <c r="G2" s="57" t="s">
        <v>31</v>
      </c>
      <c r="H2" s="57"/>
      <c r="I2" s="57"/>
      <c r="J2" s="58" t="s">
        <v>32</v>
      </c>
      <c r="K2" s="58"/>
      <c r="L2" s="58"/>
    </row>
    <row r="3" spans="1:12" ht="12.75">
      <c r="A3" s="55"/>
      <c r="B3" s="55"/>
      <c r="C3" s="55"/>
      <c r="D3" s="25" t="s">
        <v>33</v>
      </c>
      <c r="E3" s="26" t="s">
        <v>34</v>
      </c>
      <c r="F3" s="26" t="s">
        <v>35</v>
      </c>
      <c r="G3" s="28" t="s">
        <v>33</v>
      </c>
      <c r="H3" s="28" t="s">
        <v>34</v>
      </c>
      <c r="I3" s="28" t="s">
        <v>35</v>
      </c>
      <c r="J3" s="27" t="s">
        <v>33</v>
      </c>
      <c r="K3" s="27" t="s">
        <v>34</v>
      </c>
      <c r="L3" s="27" t="s">
        <v>35</v>
      </c>
    </row>
    <row r="4" spans="1:12" ht="12.75">
      <c r="A4" s="39" t="s">
        <v>20</v>
      </c>
      <c r="B4" s="55"/>
      <c r="C4" s="55"/>
      <c r="D4" s="29">
        <v>10314.72</v>
      </c>
      <c r="E4" s="29">
        <v>0</v>
      </c>
      <c r="F4" s="29">
        <f>D4-E4</f>
        <v>10314.72</v>
      </c>
      <c r="G4" s="30">
        <v>5421.79</v>
      </c>
      <c r="H4" s="30">
        <v>0</v>
      </c>
      <c r="I4" s="30">
        <f>G4-H4</f>
        <v>5421.79</v>
      </c>
      <c r="J4" s="31">
        <v>4408.03</v>
      </c>
      <c r="K4" s="31">
        <v>0</v>
      </c>
      <c r="L4" s="31">
        <f>J4-K4</f>
        <v>4408.03</v>
      </c>
    </row>
    <row r="5" spans="1:12" ht="12.75">
      <c r="A5" s="40" t="s">
        <v>21</v>
      </c>
      <c r="B5" s="47"/>
      <c r="C5" s="41"/>
      <c r="D5" s="29">
        <v>12077.92</v>
      </c>
      <c r="E5" s="29">
        <f>6038.96+1719.12</f>
        <v>7758.08</v>
      </c>
      <c r="F5" s="29">
        <f aca="true" t="shared" si="0" ref="F5:F13">D5-E5</f>
        <v>4319.84</v>
      </c>
      <c r="G5" s="30">
        <v>6348.59</v>
      </c>
      <c r="H5" s="30">
        <f>3174.29+903.64</f>
        <v>4077.93</v>
      </c>
      <c r="I5" s="30">
        <f aca="true" t="shared" si="1" ref="I5:I13">G5-H5</f>
        <v>2270.6600000000003</v>
      </c>
      <c r="J5" s="31">
        <v>5421.87</v>
      </c>
      <c r="K5" s="31">
        <f>2147.6+767.5</f>
        <v>2915.1</v>
      </c>
      <c r="L5" s="31">
        <f aca="true" t="shared" si="2" ref="L5:L13">J5-K5</f>
        <v>2506.77</v>
      </c>
    </row>
    <row r="6" spans="1:12" ht="12.75">
      <c r="A6" s="40" t="s">
        <v>22</v>
      </c>
      <c r="B6" s="47"/>
      <c r="C6" s="41"/>
      <c r="D6" s="29">
        <v>13598.68</v>
      </c>
      <c r="E6" s="29">
        <f>5201.44+6391.6</f>
        <v>11593.04</v>
      </c>
      <c r="F6" s="29">
        <f t="shared" si="0"/>
        <v>2005.6399999999994</v>
      </c>
      <c r="G6" s="30">
        <v>7147.95</v>
      </c>
      <c r="H6" s="30">
        <f>2734.06+2664.55</f>
        <v>5398.610000000001</v>
      </c>
      <c r="I6" s="30">
        <f t="shared" si="1"/>
        <v>1749.3399999999992</v>
      </c>
      <c r="J6" s="31">
        <v>5179.39</v>
      </c>
      <c r="K6" s="31">
        <f>2237.93+1269.47</f>
        <v>3507.3999999999996</v>
      </c>
      <c r="L6" s="31">
        <f t="shared" si="2"/>
        <v>1671.9900000000007</v>
      </c>
    </row>
    <row r="7" spans="1:12" ht="12.75">
      <c r="A7" s="40" t="s">
        <v>23</v>
      </c>
      <c r="B7" s="47"/>
      <c r="C7" s="41"/>
      <c r="D7" s="29">
        <v>10865.72</v>
      </c>
      <c r="E7" s="29">
        <f>7552.8+4562.28+264.48</f>
        <v>12379.56</v>
      </c>
      <c r="F7" s="29">
        <f t="shared" si="0"/>
        <v>-1513.8400000000001</v>
      </c>
      <c r="G7" s="30">
        <v>5711.41</v>
      </c>
      <c r="H7" s="30">
        <f>3957.2+3093.21+139.02</f>
        <v>7189.43</v>
      </c>
      <c r="I7" s="30">
        <f t="shared" si="1"/>
        <v>-1478.0200000000004</v>
      </c>
      <c r="J7" s="31">
        <v>1741.09</v>
      </c>
      <c r="K7" s="31">
        <f>2478.6+1426.01+297.99</f>
        <v>4202.599999999999</v>
      </c>
      <c r="L7" s="31">
        <f t="shared" si="2"/>
        <v>-2461.5099999999993</v>
      </c>
    </row>
    <row r="8" spans="1:12" ht="12.75">
      <c r="A8" s="40" t="s">
        <v>12</v>
      </c>
      <c r="B8" s="47"/>
      <c r="C8" s="41"/>
      <c r="D8" s="29">
        <v>16343.53</v>
      </c>
      <c r="E8" s="29">
        <f>5708.36+3438.24</f>
        <v>9146.599999999999</v>
      </c>
      <c r="F8" s="29">
        <f t="shared" si="0"/>
        <v>7196.930000000002</v>
      </c>
      <c r="G8" s="30">
        <v>8693.68</v>
      </c>
      <c r="H8" s="30">
        <f>3000.52+1807.26</f>
        <v>4807.78</v>
      </c>
      <c r="I8" s="30">
        <f t="shared" si="1"/>
        <v>3885.9000000000005</v>
      </c>
      <c r="J8" s="31">
        <v>2758.46</v>
      </c>
      <c r="K8" s="31">
        <f>1395.1+815.46</f>
        <v>2210.56</v>
      </c>
      <c r="L8" s="31">
        <f t="shared" si="2"/>
        <v>547.9000000000001</v>
      </c>
    </row>
    <row r="9" spans="1:12" ht="12.75">
      <c r="A9" s="40" t="s">
        <v>13</v>
      </c>
      <c r="B9" s="47"/>
      <c r="C9" s="41"/>
      <c r="D9" s="29">
        <v>18485.76</v>
      </c>
      <c r="E9" s="29">
        <f>7807.37+6458.3</f>
        <v>14265.67</v>
      </c>
      <c r="F9" s="29">
        <f t="shared" si="0"/>
        <v>4220.089999999998</v>
      </c>
      <c r="G9" s="30">
        <v>9634.56</v>
      </c>
      <c r="H9" s="30">
        <f>3962.86+3367.95</f>
        <v>7330.8099999999995</v>
      </c>
      <c r="I9" s="30">
        <f t="shared" si="1"/>
        <v>2303.75</v>
      </c>
      <c r="J9" s="31">
        <v>1439.31</v>
      </c>
      <c r="K9" s="31">
        <f>1283.42+1029.24</f>
        <v>2312.66</v>
      </c>
      <c r="L9" s="31">
        <f t="shared" si="2"/>
        <v>-873.3499999999999</v>
      </c>
    </row>
    <row r="10" spans="1:12" ht="12.75">
      <c r="A10" s="40" t="s">
        <v>14</v>
      </c>
      <c r="B10" s="47"/>
      <c r="C10" s="41"/>
      <c r="D10" s="29">
        <v>17474.82</v>
      </c>
      <c r="E10" s="29">
        <f>8013.54+3414.22</f>
        <v>11427.76</v>
      </c>
      <c r="F10" s="29">
        <f t="shared" si="0"/>
        <v>6047.0599999999995</v>
      </c>
      <c r="G10" s="30">
        <v>9107.67</v>
      </c>
      <c r="H10" s="30">
        <f>4830.68+1831.57</f>
        <v>6662.25</v>
      </c>
      <c r="I10" s="30">
        <f t="shared" si="1"/>
        <v>2445.42</v>
      </c>
      <c r="J10" s="31">
        <v>1227.57</v>
      </c>
      <c r="K10" s="31">
        <f>884.63+424.12+9.15</f>
        <v>1317.9</v>
      </c>
      <c r="L10" s="31">
        <f t="shared" si="2"/>
        <v>-90.33000000000015</v>
      </c>
    </row>
    <row r="11" spans="1:12" ht="12.75">
      <c r="A11" s="40" t="s">
        <v>15</v>
      </c>
      <c r="B11" s="47"/>
      <c r="C11" s="41"/>
      <c r="D11" s="29">
        <v>13142.22</v>
      </c>
      <c r="E11" s="29">
        <f>17819.34+5314</f>
        <v>23133.34</v>
      </c>
      <c r="F11" s="29">
        <f t="shared" si="0"/>
        <v>-9991.12</v>
      </c>
      <c r="G11" s="30">
        <v>6849.57</v>
      </c>
      <c r="H11" s="30">
        <f>9289.19+3009</f>
        <v>12298.19</v>
      </c>
      <c r="I11" s="30">
        <f t="shared" si="1"/>
        <v>-5448.620000000001</v>
      </c>
      <c r="J11" s="31">
        <v>3865.64</v>
      </c>
      <c r="K11" s="31">
        <f>1226.25+702.34</f>
        <v>1928.5900000000001</v>
      </c>
      <c r="L11" s="31">
        <f t="shared" si="2"/>
        <v>1937.0499999999997</v>
      </c>
    </row>
    <row r="12" spans="1:12" ht="12.75">
      <c r="A12" s="40" t="s">
        <v>17</v>
      </c>
      <c r="B12" s="47"/>
      <c r="C12" s="41"/>
      <c r="D12" s="29">
        <v>15452.94</v>
      </c>
      <c r="E12" s="29">
        <f>8076.58+4862.14</f>
        <v>12938.720000000001</v>
      </c>
      <c r="F12" s="29">
        <f t="shared" si="0"/>
        <v>2514.2199999999993</v>
      </c>
      <c r="G12" s="30">
        <v>8053.89</v>
      </c>
      <c r="H12" s="30">
        <f>3688.23+2534.09</f>
        <v>6222.32</v>
      </c>
      <c r="I12" s="30">
        <f t="shared" si="1"/>
        <v>1831.5700000000006</v>
      </c>
      <c r="J12" s="31">
        <v>3056.93</v>
      </c>
      <c r="K12" s="31">
        <f>2047.64+1094.69</f>
        <v>3142.33</v>
      </c>
      <c r="L12" s="31">
        <f t="shared" si="2"/>
        <v>-85.40000000000009</v>
      </c>
    </row>
    <row r="13" spans="1:12" ht="12.75">
      <c r="A13" s="40" t="s">
        <v>18</v>
      </c>
      <c r="B13" s="47"/>
      <c r="C13" s="41"/>
      <c r="D13" s="29">
        <v>15164.1</v>
      </c>
      <c r="E13" s="29">
        <f>14292.94+4862.06</f>
        <v>19155</v>
      </c>
      <c r="F13" s="29">
        <f t="shared" si="0"/>
        <v>-3990.8999999999996</v>
      </c>
      <c r="G13" s="30">
        <v>7903.35</v>
      </c>
      <c r="H13" s="30">
        <f>7451.05+2534.09</f>
        <v>9985.14</v>
      </c>
      <c r="I13" s="30">
        <f t="shared" si="1"/>
        <v>-2081.789999999999</v>
      </c>
      <c r="J13" s="31">
        <v>529.54</v>
      </c>
      <c r="K13" s="31">
        <f>1553.49+904.08</f>
        <v>2457.57</v>
      </c>
      <c r="L13" s="31">
        <f t="shared" si="2"/>
        <v>-1928.0300000000002</v>
      </c>
    </row>
    <row r="14" spans="1:12" ht="12.75">
      <c r="A14" s="39" t="s">
        <v>6</v>
      </c>
      <c r="B14" s="55"/>
      <c r="C14" s="55"/>
      <c r="D14" s="32">
        <f aca="true" t="shared" si="3" ref="D14:L14">SUM(D4:D13)</f>
        <v>142920.41</v>
      </c>
      <c r="E14" s="32">
        <f t="shared" si="3"/>
        <v>121797.76999999999</v>
      </c>
      <c r="F14" s="32">
        <f t="shared" si="3"/>
        <v>21122.639999999992</v>
      </c>
      <c r="G14" s="32">
        <f t="shared" si="3"/>
        <v>74872.46</v>
      </c>
      <c r="H14" s="32">
        <f t="shared" si="3"/>
        <v>63972.46</v>
      </c>
      <c r="I14" s="32">
        <f t="shared" si="3"/>
        <v>10900.000000000005</v>
      </c>
      <c r="J14" s="32">
        <f t="shared" si="3"/>
        <v>29627.83</v>
      </c>
      <c r="K14" s="32">
        <f t="shared" si="3"/>
        <v>23994.71</v>
      </c>
      <c r="L14" s="32">
        <f t="shared" si="3"/>
        <v>5633.120000000001</v>
      </c>
    </row>
    <row r="17" spans="1:18" ht="12.75">
      <c r="A17" s="42" t="s">
        <v>27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8" spans="1:18" ht="16.5" customHeight="1">
      <c r="A18" s="2"/>
      <c r="B18" s="2" t="s">
        <v>0</v>
      </c>
      <c r="C18" s="2" t="s">
        <v>1</v>
      </c>
      <c r="D18" s="36" t="s">
        <v>2</v>
      </c>
      <c r="E18" s="37"/>
      <c r="F18" s="38"/>
      <c r="G18" s="48" t="s">
        <v>36</v>
      </c>
      <c r="H18" s="48" t="s">
        <v>37</v>
      </c>
      <c r="I18" s="48" t="s">
        <v>38</v>
      </c>
      <c r="J18" s="48" t="s">
        <v>39</v>
      </c>
      <c r="K18" s="36" t="s">
        <v>3</v>
      </c>
      <c r="L18" s="37"/>
      <c r="M18" s="38"/>
      <c r="N18" s="48" t="s">
        <v>43</v>
      </c>
      <c r="O18" s="2" t="s">
        <v>11</v>
      </c>
      <c r="P18" s="51" t="s">
        <v>7</v>
      </c>
      <c r="Q18" s="44" t="s">
        <v>44</v>
      </c>
      <c r="R18" s="60" t="s">
        <v>9</v>
      </c>
    </row>
    <row r="19" spans="1:18" ht="43.5" customHeight="1">
      <c r="A19" s="2"/>
      <c r="B19" s="2"/>
      <c r="C19" s="2" t="s">
        <v>4</v>
      </c>
      <c r="D19" s="2" t="s">
        <v>8</v>
      </c>
      <c r="E19" s="2" t="s">
        <v>5</v>
      </c>
      <c r="F19" s="2" t="s">
        <v>6</v>
      </c>
      <c r="G19" s="49"/>
      <c r="H19" s="49"/>
      <c r="I19" s="49"/>
      <c r="J19" s="49"/>
      <c r="K19" s="48" t="s">
        <v>40</v>
      </c>
      <c r="L19" s="48" t="s">
        <v>41</v>
      </c>
      <c r="M19" s="48" t="s">
        <v>42</v>
      </c>
      <c r="N19" s="49"/>
      <c r="O19" s="18"/>
      <c r="P19" s="52"/>
      <c r="Q19" s="45"/>
      <c r="R19" s="61"/>
    </row>
    <row r="20" spans="1:18" ht="12.75">
      <c r="A20" s="2"/>
      <c r="B20" s="2">
        <v>2003.2</v>
      </c>
      <c r="C20" s="2"/>
      <c r="D20" s="2"/>
      <c r="E20" s="2"/>
      <c r="F20" s="17">
        <v>-27323.67</v>
      </c>
      <c r="G20" s="50"/>
      <c r="H20" s="50"/>
      <c r="I20" s="50"/>
      <c r="J20" s="50"/>
      <c r="K20" s="50"/>
      <c r="L20" s="50"/>
      <c r="M20" s="50"/>
      <c r="N20" s="50"/>
      <c r="O20" s="2"/>
      <c r="P20" s="53"/>
      <c r="Q20" s="46"/>
      <c r="R20" s="10">
        <v>0</v>
      </c>
    </row>
    <row r="21" spans="1:18" ht="12.75">
      <c r="A21" s="16" t="s">
        <v>24</v>
      </c>
      <c r="B21" s="1"/>
      <c r="C21" s="1"/>
      <c r="D21" s="3">
        <f>4552.2+775.27</f>
        <v>5327.469999999999</v>
      </c>
      <c r="E21" s="3">
        <f>2934.4+565.6</f>
        <v>3500</v>
      </c>
      <c r="F21" s="3">
        <f aca="true" t="shared" si="4" ref="F21:F34">SUM(D21:E21)</f>
        <v>8827.47</v>
      </c>
      <c r="G21" s="4">
        <f aca="true" t="shared" si="5" ref="G21:G33">F21*0.09</f>
        <v>794.4722999999999</v>
      </c>
      <c r="H21" s="4">
        <v>0</v>
      </c>
      <c r="I21" s="4">
        <v>2924.24</v>
      </c>
      <c r="J21" s="4">
        <v>0</v>
      </c>
      <c r="K21" s="4">
        <f>B20*1.4</f>
        <v>2804.48</v>
      </c>
      <c r="L21" s="4">
        <v>0</v>
      </c>
      <c r="M21" s="4">
        <v>1700</v>
      </c>
      <c r="N21" s="4">
        <f aca="true" t="shared" si="6" ref="N21:N32">F21*0.15</f>
        <v>1324.1204999999998</v>
      </c>
      <c r="O21" s="4">
        <v>3996</v>
      </c>
      <c r="P21" s="4">
        <f aca="true" t="shared" si="7" ref="P21:P34">SUM(G21:O21)</f>
        <v>13543.312799999998</v>
      </c>
      <c r="Q21" s="12">
        <f aca="true" t="shared" si="8" ref="Q21:Q35">F21-P21</f>
        <v>-4715.8427999999985</v>
      </c>
      <c r="R21" s="11">
        <v>0</v>
      </c>
    </row>
    <row r="22" spans="1:18" ht="12.75">
      <c r="A22" s="16" t="s">
        <v>19</v>
      </c>
      <c r="B22" s="1"/>
      <c r="C22" s="1"/>
      <c r="D22" s="3">
        <f>4997.42+1903+878.4</f>
        <v>7778.82</v>
      </c>
      <c r="E22" s="3">
        <f>3579.6+1266+585.6</f>
        <v>5431.200000000001</v>
      </c>
      <c r="F22" s="3">
        <f t="shared" si="4"/>
        <v>13210.02</v>
      </c>
      <c r="G22" s="4">
        <f t="shared" si="5"/>
        <v>1188.9018</v>
      </c>
      <c r="H22" s="4">
        <v>0</v>
      </c>
      <c r="I22" s="4">
        <v>2924.24</v>
      </c>
      <c r="J22" s="4">
        <v>1799</v>
      </c>
      <c r="K22" s="4">
        <f>B20*1.4</f>
        <v>2804.48</v>
      </c>
      <c r="L22" s="4">
        <v>0</v>
      </c>
      <c r="M22" s="4">
        <v>1700</v>
      </c>
      <c r="N22" s="4">
        <f t="shared" si="6"/>
        <v>1981.503</v>
      </c>
      <c r="O22" s="4">
        <v>3996</v>
      </c>
      <c r="P22" s="4">
        <f t="shared" si="7"/>
        <v>16394.124799999998</v>
      </c>
      <c r="Q22" s="12">
        <f t="shared" si="8"/>
        <v>-3184.1047999999973</v>
      </c>
      <c r="R22" s="11">
        <v>0</v>
      </c>
    </row>
    <row r="23" spans="1:18" ht="12.75">
      <c r="A23" s="16" t="s">
        <v>20</v>
      </c>
      <c r="B23" s="1"/>
      <c r="C23" s="1"/>
      <c r="D23" s="3">
        <f>5583.3+1024.8</f>
        <v>6608.1</v>
      </c>
      <c r="E23" s="3">
        <f>3469.2+683.2</f>
        <v>4152.4</v>
      </c>
      <c r="F23" s="3">
        <f t="shared" si="4"/>
        <v>10760.5</v>
      </c>
      <c r="G23" s="4">
        <f t="shared" si="5"/>
        <v>968.4449999999999</v>
      </c>
      <c r="H23" s="4">
        <v>2003.2</v>
      </c>
      <c r="I23" s="4">
        <v>2924.24</v>
      </c>
      <c r="J23" s="4">
        <v>319</v>
      </c>
      <c r="K23" s="4">
        <v>2804.48</v>
      </c>
      <c r="L23" s="4">
        <v>97</v>
      </c>
      <c r="M23" s="4">
        <v>1700</v>
      </c>
      <c r="N23" s="4">
        <f t="shared" si="6"/>
        <v>1614.075</v>
      </c>
      <c r="O23" s="4">
        <v>6660</v>
      </c>
      <c r="P23" s="4">
        <f t="shared" si="7"/>
        <v>19090.440000000002</v>
      </c>
      <c r="Q23" s="12">
        <f t="shared" si="8"/>
        <v>-8329.940000000002</v>
      </c>
      <c r="R23" s="11">
        <v>0</v>
      </c>
    </row>
    <row r="24" spans="1:18" ht="12.75">
      <c r="A24" s="16" t="s">
        <v>21</v>
      </c>
      <c r="B24" s="1"/>
      <c r="C24" s="1"/>
      <c r="D24" s="3">
        <f>11789.6+4453.4</f>
        <v>16243</v>
      </c>
      <c r="E24" s="3">
        <f>5363.4+2297.2</f>
        <v>7660.599999999999</v>
      </c>
      <c r="F24" s="3">
        <f t="shared" si="4"/>
        <v>23903.6</v>
      </c>
      <c r="G24" s="4">
        <f t="shared" si="5"/>
        <v>2151.3239999999996</v>
      </c>
      <c r="H24" s="4">
        <v>2003.2</v>
      </c>
      <c r="I24" s="4">
        <v>2924.24</v>
      </c>
      <c r="J24" s="4">
        <v>11199</v>
      </c>
      <c r="K24" s="4">
        <v>2804.48</v>
      </c>
      <c r="L24" s="4">
        <v>0</v>
      </c>
      <c r="M24" s="4">
        <v>1700</v>
      </c>
      <c r="N24" s="4">
        <f t="shared" si="6"/>
        <v>3585.5399999999995</v>
      </c>
      <c r="O24" s="4">
        <v>6660</v>
      </c>
      <c r="P24" s="4">
        <f t="shared" si="7"/>
        <v>33027.784</v>
      </c>
      <c r="Q24" s="12">
        <f t="shared" si="8"/>
        <v>-9124.184000000001</v>
      </c>
      <c r="R24" s="11">
        <v>0</v>
      </c>
    </row>
    <row r="25" spans="1:18" ht="12.75">
      <c r="A25" s="16" t="s">
        <v>22</v>
      </c>
      <c r="B25" s="1"/>
      <c r="C25" s="1"/>
      <c r="D25" s="3">
        <f>9654.25+4678.25</f>
        <v>14332.5</v>
      </c>
      <c r="E25" s="3">
        <f>4239.6+1862</f>
        <v>6101.6</v>
      </c>
      <c r="F25" s="3">
        <f t="shared" si="4"/>
        <v>20434.1</v>
      </c>
      <c r="G25" s="4">
        <f t="shared" si="5"/>
        <v>1839.0689999999997</v>
      </c>
      <c r="H25" s="4">
        <v>2003.2</v>
      </c>
      <c r="I25" s="4">
        <v>2924.24</v>
      </c>
      <c r="J25" s="4">
        <v>393</v>
      </c>
      <c r="K25" s="4">
        <v>2804.48</v>
      </c>
      <c r="L25" s="4">
        <v>0</v>
      </c>
      <c r="M25" s="4">
        <v>1000</v>
      </c>
      <c r="N25" s="4">
        <f t="shared" si="6"/>
        <v>3065.115</v>
      </c>
      <c r="O25" s="4">
        <v>6660</v>
      </c>
      <c r="P25" s="4">
        <f t="shared" si="7"/>
        <v>20689.104</v>
      </c>
      <c r="Q25" s="12">
        <f t="shared" si="8"/>
        <v>-255.00400000000081</v>
      </c>
      <c r="R25" s="11">
        <v>0</v>
      </c>
    </row>
    <row r="26" spans="1:18" ht="12.75">
      <c r="A26" s="16" t="s">
        <v>23</v>
      </c>
      <c r="B26" s="1"/>
      <c r="C26" s="1"/>
      <c r="D26" s="3">
        <f>14234.52+4752.55+5089.56</f>
        <v>24076.63</v>
      </c>
      <c r="E26" s="3">
        <f>6182.3+1890.8+3336.95</f>
        <v>11410.05</v>
      </c>
      <c r="F26" s="3">
        <f t="shared" si="4"/>
        <v>35486.68</v>
      </c>
      <c r="G26" s="4">
        <f t="shared" si="5"/>
        <v>3193.8012</v>
      </c>
      <c r="H26" s="4">
        <v>2003.2</v>
      </c>
      <c r="I26" s="4">
        <v>2924.24</v>
      </c>
      <c r="J26" s="4">
        <f>7925+10546</f>
        <v>18471</v>
      </c>
      <c r="K26" s="4">
        <v>2804.48</v>
      </c>
      <c r="L26" s="4">
        <v>0</v>
      </c>
      <c r="M26" s="4">
        <v>1000</v>
      </c>
      <c r="N26" s="4">
        <f t="shared" si="6"/>
        <v>5323.0019999999995</v>
      </c>
      <c r="O26" s="4">
        <v>6660</v>
      </c>
      <c r="P26" s="4">
        <f t="shared" si="7"/>
        <v>42379.7232</v>
      </c>
      <c r="Q26" s="12">
        <f t="shared" si="8"/>
        <v>-6893.0432</v>
      </c>
      <c r="R26" s="11">
        <v>22.3</v>
      </c>
    </row>
    <row r="27" spans="1:18" ht="12.75">
      <c r="A27" s="16" t="s">
        <v>12</v>
      </c>
      <c r="B27" s="1"/>
      <c r="C27" s="1"/>
      <c r="D27" s="3">
        <f>9051.66+7826.84</f>
        <v>16878.5</v>
      </c>
      <c r="E27" s="3">
        <f>4158.29+3435.6</f>
        <v>7593.889999999999</v>
      </c>
      <c r="F27" s="3">
        <f t="shared" si="4"/>
        <v>24472.39</v>
      </c>
      <c r="G27" s="4">
        <f t="shared" si="5"/>
        <v>2202.5151</v>
      </c>
      <c r="H27" s="4">
        <v>2003.2</v>
      </c>
      <c r="I27" s="4">
        <v>2924.24</v>
      </c>
      <c r="J27" s="4">
        <v>0</v>
      </c>
      <c r="K27" s="4">
        <v>2804.48</v>
      </c>
      <c r="L27" s="4">
        <v>0</v>
      </c>
      <c r="M27" s="4">
        <v>1000</v>
      </c>
      <c r="N27" s="4">
        <f t="shared" si="6"/>
        <v>3670.8585</v>
      </c>
      <c r="O27" s="4">
        <v>6660</v>
      </c>
      <c r="P27" s="4">
        <f t="shared" si="7"/>
        <v>21265.2936</v>
      </c>
      <c r="Q27" s="12">
        <f t="shared" si="8"/>
        <v>3207.0963999999985</v>
      </c>
      <c r="R27" s="11">
        <v>107.7</v>
      </c>
    </row>
    <row r="28" spans="1:18" ht="12.75">
      <c r="A28" s="16" t="s">
        <v>13</v>
      </c>
      <c r="B28" s="1"/>
      <c r="C28" s="1"/>
      <c r="D28" s="3">
        <f>9271.42+8632.96</f>
        <v>17904.379999999997</v>
      </c>
      <c r="E28" s="3">
        <f>3614.71+3507.2</f>
        <v>7121.91</v>
      </c>
      <c r="F28" s="3">
        <f t="shared" si="4"/>
        <v>25026.289999999997</v>
      </c>
      <c r="G28" s="4">
        <f t="shared" si="5"/>
        <v>2252.3660999999997</v>
      </c>
      <c r="H28" s="4">
        <v>2003.2</v>
      </c>
      <c r="I28" s="4">
        <v>2924.24</v>
      </c>
      <c r="J28" s="4">
        <v>0</v>
      </c>
      <c r="K28" s="4">
        <v>2804.48</v>
      </c>
      <c r="L28" s="4">
        <v>0</v>
      </c>
      <c r="M28" s="4">
        <v>1000</v>
      </c>
      <c r="N28" s="4">
        <f t="shared" si="6"/>
        <v>3753.9434999999994</v>
      </c>
      <c r="O28" s="4">
        <v>6660</v>
      </c>
      <c r="P28" s="4">
        <f t="shared" si="7"/>
        <v>21398.2296</v>
      </c>
      <c r="Q28" s="12">
        <f t="shared" si="8"/>
        <v>3628.0603999999985</v>
      </c>
      <c r="R28" s="11">
        <v>0</v>
      </c>
    </row>
    <row r="29" spans="1:18" ht="12.75">
      <c r="A29" s="16" t="s">
        <v>14</v>
      </c>
      <c r="B29" s="1"/>
      <c r="C29" s="1"/>
      <c r="D29" s="3">
        <f>9574.66+4832.88+122.72</f>
        <v>14530.26</v>
      </c>
      <c r="E29" s="3">
        <f>4017.27+1858.8+47.2</f>
        <v>5923.2699999999995</v>
      </c>
      <c r="F29" s="3">
        <f t="shared" si="4"/>
        <v>20453.53</v>
      </c>
      <c r="G29" s="4">
        <f t="shared" si="5"/>
        <v>1840.8176999999998</v>
      </c>
      <c r="H29" s="4">
        <v>2003.2</v>
      </c>
      <c r="I29" s="4">
        <v>2924.24</v>
      </c>
      <c r="J29" s="4">
        <v>1977</v>
      </c>
      <c r="K29" s="4">
        <v>2804.48</v>
      </c>
      <c r="L29" s="4">
        <v>1050</v>
      </c>
      <c r="M29" s="4">
        <v>1000</v>
      </c>
      <c r="N29" s="4">
        <f t="shared" si="6"/>
        <v>3068.0294999999996</v>
      </c>
      <c r="O29" s="4">
        <v>7012.98</v>
      </c>
      <c r="P29" s="4">
        <f t="shared" si="7"/>
        <v>23680.747199999998</v>
      </c>
      <c r="Q29" s="12">
        <f t="shared" si="8"/>
        <v>-3227.217199999999</v>
      </c>
      <c r="R29" s="11">
        <f>798.6</f>
        <v>798.6</v>
      </c>
    </row>
    <row r="30" spans="1:18" ht="12.75">
      <c r="A30" s="16" t="s">
        <v>15</v>
      </c>
      <c r="B30" s="1"/>
      <c r="C30" s="1"/>
      <c r="D30" s="3">
        <f>17098.5+7136.93</f>
        <v>24235.43</v>
      </c>
      <c r="E30" s="3">
        <f>6344+3203.2</f>
        <v>9547.2</v>
      </c>
      <c r="F30" s="3">
        <f t="shared" si="4"/>
        <v>33782.630000000005</v>
      </c>
      <c r="G30" s="4">
        <f t="shared" si="5"/>
        <v>3040.4367</v>
      </c>
      <c r="H30" s="4">
        <v>2003.2</v>
      </c>
      <c r="I30" s="4">
        <v>2924.24</v>
      </c>
      <c r="J30" s="4">
        <v>799</v>
      </c>
      <c r="K30" s="4">
        <v>2804.48</v>
      </c>
      <c r="L30" s="4">
        <v>0</v>
      </c>
      <c r="M30" s="4">
        <v>2400</v>
      </c>
      <c r="N30" s="4">
        <f t="shared" si="6"/>
        <v>5067.3945</v>
      </c>
      <c r="O30" s="4">
        <v>7012.98</v>
      </c>
      <c r="P30" s="4">
        <f t="shared" si="7"/>
        <v>26051.7312</v>
      </c>
      <c r="Q30" s="12">
        <f t="shared" si="8"/>
        <v>7730.898800000006</v>
      </c>
      <c r="R30" s="11">
        <f>36.6+180</f>
        <v>216.6</v>
      </c>
    </row>
    <row r="31" spans="1:18" ht="12.75">
      <c r="A31" s="16" t="s">
        <v>17</v>
      </c>
      <c r="B31" s="1"/>
      <c r="C31" s="1"/>
      <c r="D31" s="3">
        <f>13057.24+5457.57</f>
        <v>18514.809999999998</v>
      </c>
      <c r="E31" s="3">
        <f>5715.6+2152.4</f>
        <v>7868</v>
      </c>
      <c r="F31" s="3">
        <f t="shared" si="4"/>
        <v>26382.809999999998</v>
      </c>
      <c r="G31" s="4">
        <f t="shared" si="5"/>
        <v>2374.4528999999998</v>
      </c>
      <c r="H31" s="4">
        <v>2003.2</v>
      </c>
      <c r="I31" s="4">
        <v>2924.24</v>
      </c>
      <c r="J31" s="4">
        <v>0</v>
      </c>
      <c r="K31" s="4">
        <v>2804.48</v>
      </c>
      <c r="L31" s="4">
        <v>0</v>
      </c>
      <c r="M31" s="4">
        <v>2400</v>
      </c>
      <c r="N31" s="4">
        <f t="shared" si="6"/>
        <v>3957.4214999999995</v>
      </c>
      <c r="O31" s="4">
        <v>7012.98</v>
      </c>
      <c r="P31" s="4">
        <f t="shared" si="7"/>
        <v>23476.7744</v>
      </c>
      <c r="Q31" s="12">
        <f t="shared" si="8"/>
        <v>2906.0355999999992</v>
      </c>
      <c r="R31" s="11">
        <v>179</v>
      </c>
    </row>
    <row r="32" spans="1:18" ht="12.75">
      <c r="A32" s="16" t="s">
        <v>18</v>
      </c>
      <c r="B32" s="1"/>
      <c r="C32" s="1"/>
      <c r="D32" s="3">
        <f>9765.55+5807.35</f>
        <v>15572.9</v>
      </c>
      <c r="E32" s="3">
        <f>3860.4+2031.2</f>
        <v>5891.6</v>
      </c>
      <c r="F32" s="3">
        <f t="shared" si="4"/>
        <v>21464.5</v>
      </c>
      <c r="G32" s="4">
        <f t="shared" si="5"/>
        <v>1931.8049999999998</v>
      </c>
      <c r="H32" s="4">
        <v>2003.2</v>
      </c>
      <c r="I32" s="4">
        <v>2924.24</v>
      </c>
      <c r="J32" s="4">
        <v>0</v>
      </c>
      <c r="K32" s="4">
        <v>2804.48</v>
      </c>
      <c r="L32" s="4">
        <v>0</v>
      </c>
      <c r="M32" s="4">
        <v>2400</v>
      </c>
      <c r="N32" s="4">
        <f t="shared" si="6"/>
        <v>3219.6749999999997</v>
      </c>
      <c r="O32" s="4">
        <v>7012.98</v>
      </c>
      <c r="P32" s="4">
        <f t="shared" si="7"/>
        <v>22296.379999999997</v>
      </c>
      <c r="Q32" s="12">
        <f t="shared" si="8"/>
        <v>-831.8799999999974</v>
      </c>
      <c r="R32" s="11">
        <v>0</v>
      </c>
    </row>
    <row r="33" spans="1:18" ht="12.75">
      <c r="A33" s="14" t="s">
        <v>16</v>
      </c>
      <c r="B33" s="14"/>
      <c r="C33" s="14"/>
      <c r="D33" s="3">
        <v>0</v>
      </c>
      <c r="E33" s="3">
        <v>0</v>
      </c>
      <c r="F33" s="3">
        <f t="shared" si="4"/>
        <v>0</v>
      </c>
      <c r="G33" s="4">
        <f t="shared" si="5"/>
        <v>0</v>
      </c>
      <c r="H33" s="4">
        <f>SUM(F33*0.06)</f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f>SUM(F33*0.15)</f>
        <v>0</v>
      </c>
      <c r="O33" s="4">
        <v>0</v>
      </c>
      <c r="P33" s="4">
        <f t="shared" si="7"/>
        <v>0</v>
      </c>
      <c r="Q33" s="12">
        <f t="shared" si="8"/>
        <v>0</v>
      </c>
      <c r="R33" s="11">
        <v>0</v>
      </c>
    </row>
    <row r="34" spans="1:18" ht="13.5" thickBot="1">
      <c r="A34" s="14" t="s">
        <v>26</v>
      </c>
      <c r="B34" s="14"/>
      <c r="C34" s="14"/>
      <c r="D34" s="3">
        <f>900+900+900+900</f>
        <v>3600</v>
      </c>
      <c r="E34" s="3">
        <v>0</v>
      </c>
      <c r="F34" s="3">
        <f t="shared" si="4"/>
        <v>3600</v>
      </c>
      <c r="G34" s="4">
        <f>F34*0.06</f>
        <v>216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f>SUM(F34*0.15)</f>
        <v>540</v>
      </c>
      <c r="O34" s="4">
        <v>0</v>
      </c>
      <c r="P34" s="4">
        <f t="shared" si="7"/>
        <v>756</v>
      </c>
      <c r="Q34" s="12">
        <f t="shared" si="8"/>
        <v>2844</v>
      </c>
      <c r="R34" s="11">
        <v>0</v>
      </c>
    </row>
    <row r="35" spans="1:18" ht="13.5" thickBot="1">
      <c r="A35" s="6" t="s">
        <v>6</v>
      </c>
      <c r="B35" s="6"/>
      <c r="C35" s="6"/>
      <c r="D35" s="7">
        <f>SUM(D21:D34)</f>
        <v>185602.8</v>
      </c>
      <c r="E35" s="7">
        <f>SUM(E21:E34)</f>
        <v>82201.72000000002</v>
      </c>
      <c r="F35" s="8">
        <f>SUM(F20:F34)</f>
        <v>240480.85</v>
      </c>
      <c r="G35" s="8">
        <f aca="true" t="shared" si="9" ref="G35:P35">SUM(G21:G34)</f>
        <v>23994.4068</v>
      </c>
      <c r="H35" s="8">
        <f t="shared" si="9"/>
        <v>20032.000000000004</v>
      </c>
      <c r="I35" s="8">
        <f t="shared" si="9"/>
        <v>35090.87999999999</v>
      </c>
      <c r="J35" s="8">
        <f t="shared" si="9"/>
        <v>34957</v>
      </c>
      <c r="K35" s="8">
        <f t="shared" si="9"/>
        <v>33653.76</v>
      </c>
      <c r="L35" s="8">
        <f t="shared" si="9"/>
        <v>1147</v>
      </c>
      <c r="M35" s="8">
        <f t="shared" si="9"/>
        <v>19000</v>
      </c>
      <c r="N35" s="8">
        <f t="shared" si="9"/>
        <v>40170.67799999999</v>
      </c>
      <c r="O35" s="8">
        <f t="shared" si="9"/>
        <v>76003.91999999998</v>
      </c>
      <c r="P35" s="9">
        <f t="shared" si="9"/>
        <v>284049.64479999995</v>
      </c>
      <c r="Q35" s="15">
        <f t="shared" si="8"/>
        <v>-43568.794799999945</v>
      </c>
      <c r="R35" s="13">
        <f>SUM(R20:R34)</f>
        <v>1324.2</v>
      </c>
    </row>
    <row r="36" ht="12.75">
      <c r="R36" s="34">
        <f>R35*0.91</f>
        <v>1205.0220000000002</v>
      </c>
    </row>
    <row r="37" spans="4:18" ht="12.75">
      <c r="D37" t="s">
        <v>20</v>
      </c>
      <c r="E37" t="s">
        <v>28</v>
      </c>
      <c r="F37" t="s">
        <v>25</v>
      </c>
      <c r="K37" s="24"/>
      <c r="N37" s="33"/>
      <c r="O37" s="33"/>
      <c r="P37" s="33"/>
      <c r="R37" s="19"/>
    </row>
    <row r="38" spans="4:18" ht="12.75">
      <c r="D38" s="21" t="s">
        <v>14</v>
      </c>
      <c r="E38" s="23" t="s">
        <v>45</v>
      </c>
      <c r="F38" s="21" t="s">
        <v>46</v>
      </c>
      <c r="M38" s="22"/>
      <c r="N38" s="33"/>
      <c r="O38" s="33"/>
      <c r="P38" s="33"/>
      <c r="Q38" s="5"/>
      <c r="R38" s="20"/>
    </row>
    <row r="41" spans="5:17" ht="12.75">
      <c r="E41" s="59" t="s">
        <v>10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</row>
    <row r="44" ht="12.75">
      <c r="Q44" s="5"/>
    </row>
    <row r="45" spans="11:13" ht="12.75">
      <c r="K45" s="22" t="s">
        <v>47</v>
      </c>
      <c r="L45" s="22"/>
      <c r="M45" s="62">
        <f>Q35+R36</f>
        <v>-42363.77279999995</v>
      </c>
    </row>
  </sheetData>
  <sheetProtection/>
  <mergeCells count="32">
    <mergeCell ref="A5:C5"/>
    <mergeCell ref="R18:R19"/>
    <mergeCell ref="K18:M18"/>
    <mergeCell ref="A14:C14"/>
    <mergeCell ref="I18:I20"/>
    <mergeCell ref="M19:M20"/>
    <mergeCell ref="J2:L2"/>
    <mergeCell ref="L19:L20"/>
    <mergeCell ref="A6:C6"/>
    <mergeCell ref="A17:R17"/>
    <mergeCell ref="A7:C7"/>
    <mergeCell ref="E41:Q41"/>
    <mergeCell ref="G18:G20"/>
    <mergeCell ref="H18:H20"/>
    <mergeCell ref="A1:M1"/>
    <mergeCell ref="A2:C2"/>
    <mergeCell ref="A3:C3"/>
    <mergeCell ref="A4:C4"/>
    <mergeCell ref="D2:F2"/>
    <mergeCell ref="G2:I2"/>
    <mergeCell ref="A10:C10"/>
    <mergeCell ref="A9:C9"/>
    <mergeCell ref="A8:C8"/>
    <mergeCell ref="J18:J20"/>
    <mergeCell ref="K19:K20"/>
    <mergeCell ref="P18:P20"/>
    <mergeCell ref="D18:F18"/>
    <mergeCell ref="N18:N20"/>
    <mergeCell ref="A12:C12"/>
    <mergeCell ref="A13:C13"/>
    <mergeCell ref="Q18:Q20"/>
    <mergeCell ref="A11:C11"/>
  </mergeCells>
  <printOptions/>
  <pageMargins left="0.09375" right="0.20833333333333334" top="0.75" bottom="0.7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2015-09-28T07:27:47Z</cp:lastPrinted>
  <dcterms:created xsi:type="dcterms:W3CDTF">1996-10-08T23:32:33Z</dcterms:created>
  <dcterms:modified xsi:type="dcterms:W3CDTF">2016-02-03T04:33:20Z</dcterms:modified>
  <cp:category/>
  <cp:version/>
  <cp:contentType/>
  <cp:contentStatus/>
</cp:coreProperties>
</file>