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2225" windowHeight="4935"/>
  </bookViews>
  <sheets>
    <sheet name="2015" sheetId="4" r:id="rId1"/>
  </sheets>
  <definedNames>
    <definedName name="_xlnm.Print_Area" localSheetId="0">'2015'!$A$18:$Q$56</definedName>
  </definedNames>
  <calcPr calcId="145621"/>
</workbook>
</file>

<file path=xl/calcChain.xml><?xml version="1.0" encoding="utf-8"?>
<calcChain xmlns="http://schemas.openxmlformats.org/spreadsheetml/2006/main">
  <c r="J33" i="4" l="1"/>
  <c r="L13" i="4" l="1"/>
  <c r="M13" i="4" s="1"/>
  <c r="I13" i="4"/>
  <c r="H13" i="4"/>
  <c r="J13" i="4" s="1"/>
  <c r="F13" i="4"/>
  <c r="E13" i="4"/>
  <c r="G13" i="4" l="1"/>
  <c r="D33" i="4"/>
  <c r="E33" i="4"/>
  <c r="M35" i="4"/>
  <c r="L35" i="4"/>
  <c r="I35" i="4"/>
  <c r="H35" i="4"/>
  <c r="D34" i="4"/>
  <c r="F33" i="4" l="1"/>
  <c r="G33" i="4" s="1"/>
  <c r="M4" i="4"/>
  <c r="O33" i="4" l="1"/>
  <c r="P33" i="4"/>
  <c r="Q33" i="4" s="1"/>
  <c r="N32" i="4"/>
  <c r="J32" i="4" l="1"/>
  <c r="D32" i="4" l="1"/>
  <c r="F32" i="4" s="1"/>
  <c r="G32" i="4" s="1"/>
  <c r="E32" i="4"/>
  <c r="O32" i="4" l="1"/>
  <c r="P32" i="4" s="1"/>
  <c r="Q32" i="4" s="1"/>
  <c r="L12" i="4"/>
  <c r="K12" i="4"/>
  <c r="M12" i="4" s="1"/>
  <c r="I12" i="4"/>
  <c r="H12" i="4"/>
  <c r="J12" i="4" s="1"/>
  <c r="F12" i="4"/>
  <c r="E12" i="4"/>
  <c r="G12" i="4" s="1"/>
  <c r="N31" i="4" l="1"/>
  <c r="J31" i="4" l="1"/>
  <c r="L11" i="4" l="1"/>
  <c r="K11" i="4"/>
  <c r="I11" i="4"/>
  <c r="H11" i="4"/>
  <c r="F11" i="4"/>
  <c r="E11" i="4"/>
  <c r="G11" i="4" l="1"/>
  <c r="J11" i="4"/>
  <c r="M11" i="4"/>
  <c r="D31" i="4"/>
  <c r="E31" i="4"/>
  <c r="F31" i="4" l="1"/>
  <c r="G31" i="4" s="1"/>
  <c r="N30" i="4"/>
  <c r="O31" i="4" l="1"/>
  <c r="P31" i="4" s="1"/>
  <c r="Q31" i="4" s="1"/>
  <c r="J30" i="4"/>
  <c r="H10" i="4" l="1"/>
  <c r="L10" i="4"/>
  <c r="K10" i="4"/>
  <c r="M10" i="4" s="1"/>
  <c r="I10" i="4"/>
  <c r="F10" i="4"/>
  <c r="E10" i="4"/>
  <c r="J10" i="4" l="1"/>
  <c r="G10" i="4"/>
  <c r="D30" i="4"/>
  <c r="E30" i="4"/>
  <c r="F30" i="4" l="1"/>
  <c r="G30" i="4" s="1"/>
  <c r="L9" i="4"/>
  <c r="K9" i="4"/>
  <c r="M9" i="4" s="1"/>
  <c r="I9" i="4"/>
  <c r="H9" i="4"/>
  <c r="J9" i="4" s="1"/>
  <c r="F9" i="4"/>
  <c r="E9" i="4"/>
  <c r="G9" i="4" s="1"/>
  <c r="O30" i="4" l="1"/>
  <c r="P30" i="4" s="1"/>
  <c r="Q30" i="4" s="1"/>
  <c r="D29" i="4"/>
  <c r="E29" i="4"/>
  <c r="F29" i="4" l="1"/>
  <c r="G29" i="4" s="1"/>
  <c r="O29" i="4" l="1"/>
  <c r="P29" i="4" s="1"/>
  <c r="Q29" i="4" s="1"/>
  <c r="H8" i="4"/>
  <c r="H7" i="4" l="1"/>
  <c r="F7" i="4" l="1"/>
  <c r="E7" i="4"/>
  <c r="G7" i="4" l="1"/>
  <c r="N28" i="4"/>
  <c r="L8" i="4" l="1"/>
  <c r="M8" i="4" s="1"/>
  <c r="I8" i="4"/>
  <c r="J8" i="4" s="1"/>
  <c r="F8" i="4"/>
  <c r="E8" i="4"/>
  <c r="G8" i="4" l="1"/>
  <c r="D28" i="4"/>
  <c r="E28" i="4"/>
  <c r="F28" i="4" l="1"/>
  <c r="G28" i="4" s="1"/>
  <c r="J27" i="4"/>
  <c r="O28" i="4" l="1"/>
  <c r="P28" i="4" s="1"/>
  <c r="Q28" i="4" s="1"/>
  <c r="N27" i="4"/>
  <c r="D27" i="4" l="1"/>
  <c r="E27" i="4"/>
  <c r="F27" i="4" l="1"/>
  <c r="G27" i="4" s="1"/>
  <c r="L7" i="4"/>
  <c r="M7" i="4" s="1"/>
  <c r="I7" i="4"/>
  <c r="J7" i="4" s="1"/>
  <c r="O27" i="4" l="1"/>
  <c r="P27" i="4" s="1"/>
  <c r="Q27" i="4" s="1"/>
  <c r="L6" i="4"/>
  <c r="L14" i="4" s="1"/>
  <c r="K6" i="4"/>
  <c r="M6" i="4" s="1"/>
  <c r="I6" i="4"/>
  <c r="H6" i="4"/>
  <c r="J6" i="4" s="1"/>
  <c r="F6" i="4"/>
  <c r="E6" i="4"/>
  <c r="G6" i="4" s="1"/>
  <c r="N26" i="4" l="1"/>
  <c r="E26" i="4" l="1"/>
  <c r="D26" i="4"/>
  <c r="F26" i="4" l="1"/>
  <c r="O26" i="4" s="1"/>
  <c r="E25" i="4"/>
  <c r="D25" i="4"/>
  <c r="G26" i="4" l="1"/>
  <c r="P26" i="4" s="1"/>
  <c r="N25" i="4"/>
  <c r="Q26" i="4" l="1"/>
  <c r="K5" i="4"/>
  <c r="K14" i="4" s="1"/>
  <c r="I5" i="4"/>
  <c r="I14" i="4" s="1"/>
  <c r="H5" i="4"/>
  <c r="F5" i="4"/>
  <c r="F14" i="4" s="1"/>
  <c r="E5" i="4"/>
  <c r="G5" i="4" l="1"/>
  <c r="J5" i="4"/>
  <c r="M5" i="4"/>
  <c r="M14" i="4" s="1"/>
  <c r="F25" i="4"/>
  <c r="G25" i="4" l="1"/>
  <c r="O25" i="4"/>
  <c r="P25" i="4" l="1"/>
  <c r="Q25" i="4" s="1"/>
  <c r="H4" i="4"/>
  <c r="H14" i="4" s="1"/>
  <c r="E4" i="4"/>
  <c r="E14" i="4" s="1"/>
  <c r="G4" i="4" l="1"/>
  <c r="G14" i="4" s="1"/>
  <c r="J4" i="4"/>
  <c r="J14" i="4" s="1"/>
  <c r="D24" i="4"/>
  <c r="E24" i="4"/>
  <c r="K22" i="4"/>
  <c r="K35" i="4" s="1"/>
  <c r="D23" i="4"/>
  <c r="E23" i="4"/>
  <c r="N22" i="4"/>
  <c r="N35" i="4" s="1"/>
  <c r="J22" i="4"/>
  <c r="J35" i="4" s="1"/>
  <c r="E22" i="4"/>
  <c r="D22" i="4"/>
  <c r="D35" i="4" s="1"/>
  <c r="F34" i="4"/>
  <c r="E35" i="4" l="1"/>
  <c r="G34" i="4"/>
  <c r="F24" i="4"/>
  <c r="G24" i="4" s="1"/>
  <c r="F23" i="4"/>
  <c r="G23" i="4" s="1"/>
  <c r="F22" i="4"/>
  <c r="F35" i="4" s="1"/>
  <c r="O34" i="4"/>
  <c r="O24" i="4" l="1"/>
  <c r="P24" i="4" s="1"/>
  <c r="Q24" i="4" s="1"/>
  <c r="O23" i="4"/>
  <c r="P23" i="4" s="1"/>
  <c r="Q23" i="4" s="1"/>
  <c r="G22" i="4"/>
  <c r="G35" i="4" s="1"/>
  <c r="O22" i="4"/>
  <c r="P34" i="4"/>
  <c r="O35" i="4" l="1"/>
  <c r="Q34" i="4"/>
  <c r="P22" i="4"/>
  <c r="P35" i="4" s="1"/>
  <c r="Q35" i="4" l="1"/>
  <c r="Q22" i="4"/>
</calcChain>
</file>

<file path=xl/comments1.xml><?xml version="1.0" encoding="utf-8"?>
<comments xmlns="http://schemas.openxmlformats.org/spreadsheetml/2006/main">
  <authors>
    <author>User</author>
  </authors>
  <commentList>
    <comment ref="N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3500р-страхование лифтов</t>
        </r>
      </text>
    </comment>
    <comment ref="N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630 руб.-побелка тамбура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2900р-ремонт кровли</t>
        </r>
      </text>
    </comment>
    <comment ref="N2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980р-вывоз мусора</t>
        </r>
      </text>
    </comment>
    <comment ref="N2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2530р-замазка щелей на кровле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4000р-дезинсекция
895р-изоляция</t>
        </r>
      </text>
    </comment>
    <comment ref="N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4000р-промазка мастикой швов кровли</t>
        </r>
      </text>
    </comment>
    <comment ref="N3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испытание лифтов-3884р
оценка соответствия лифта-8800р</t>
        </r>
      </text>
    </comment>
  </commentList>
</comments>
</file>

<file path=xl/sharedStrings.xml><?xml version="1.0" encoding="utf-8"?>
<sst xmlns="http://schemas.openxmlformats.org/spreadsheetml/2006/main" count="86" uniqueCount="60">
  <si>
    <t xml:space="preserve">Остаток </t>
  </si>
  <si>
    <t xml:space="preserve">Поступило </t>
  </si>
  <si>
    <t>Площадь</t>
  </si>
  <si>
    <t xml:space="preserve">Кол-во </t>
  </si>
  <si>
    <t>квар.</t>
  </si>
  <si>
    <t>Расходы</t>
  </si>
  <si>
    <t>Содержание</t>
  </si>
  <si>
    <t>Ген. директор ООО "Георгиевск - ЖЭУ"                                            Никишина И.М.</t>
  </si>
  <si>
    <t>содержание</t>
  </si>
  <si>
    <t>ремонт</t>
  </si>
  <si>
    <t>итого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</si>
  <si>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</si>
  <si>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</si>
  <si>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</si>
  <si>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</si>
  <si>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</si>
  <si>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</si>
  <si>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</si>
  <si>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</si>
  <si>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</si>
  <si>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</si>
  <si>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</si>
  <si>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</si>
  <si>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</si>
  <si>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ростелеком</t>
  </si>
  <si>
    <t>дезинсекция</t>
  </si>
  <si>
    <t>испытание лифтов</t>
  </si>
  <si>
    <t>вывоз мусора</t>
  </si>
  <si>
    <t>8800р</t>
  </si>
  <si>
    <t>Учет доходов и расходов по Горийская 1  на 2015 год</t>
  </si>
  <si>
    <t>3500р</t>
  </si>
  <si>
    <t>страхование лифтов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</si>
  <si>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</si>
  <si>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</si>
  <si>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</si>
  <si>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</si>
  <si>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</si>
  <si>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</si>
  <si>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</si>
  <si>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</si>
  <si>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</si>
  <si>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</si>
  <si>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</si>
  <si>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</si>
  <si>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</si>
  <si>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Обслуживание приборов учета</t>
  </si>
  <si>
    <t>Проф. обходы и осмотры, разное</t>
  </si>
  <si>
    <t>Общие эксплутационные расходы</t>
  </si>
  <si>
    <t>побелка тамбура</t>
  </si>
  <si>
    <t>2900р</t>
  </si>
  <si>
    <t>ремонт кровли</t>
  </si>
  <si>
    <t>980р</t>
  </si>
  <si>
    <t>2530р</t>
  </si>
  <si>
    <t>замазка щелей на кровле</t>
  </si>
  <si>
    <t>4000р</t>
  </si>
  <si>
    <t>895р</t>
  </si>
  <si>
    <t>изоляция</t>
  </si>
  <si>
    <t>промазка мастикой швов кровли</t>
  </si>
  <si>
    <t>3884р</t>
  </si>
  <si>
    <t>оценка соответствия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</si>
</sst>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4" formatCode="#,##0.00_р_.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0" fontId="1" fillId="0" borderId="3" xfId="0" applyFont="1" applyBorder="1"/>
    <xf numFmtId="1" fontId="1" fillId="0" borderId="3" xfId="0" applyNumberFormat="1" applyFont="1" applyBorder="1"/>
    <xf numFmtId="2" fontId="1" fillId="0" borderId="4" xfId="0" applyNumberFormat="1" applyFont="1" applyBorder="1"/>
    <xf numFmtId="0" fontId="1" fillId="0" borderId="4" xfId="0" applyFont="1" applyBorder="1"/>
    <xf numFmtId="1" fontId="1" fillId="0" borderId="4" xfId="0" applyNumberFormat="1" applyFont="1" applyBorder="1"/>
    <xf numFmtId="164" fontId="1" fillId="2" borderId="4" xfId="0" applyNumberFormat="1" applyFont="1" applyFill="1" applyBorder="1" applyAlignment="1"/>
    <xf numFmtId="4" fontId="1" fillId="0" borderId="4" xfId="0" applyNumberFormat="1" applyFont="1" applyBorder="1"/>
    <xf numFmtId="164" fontId="1" fillId="4" borderId="4" xfId="0" applyNumberFormat="1" applyFont="1" applyFill="1" applyBorder="1" applyAlignment="1"/>
    <xf numFmtId="0" fontId="1" fillId="3" borderId="4" xfId="0" applyFont="1" applyFill="1" applyBorder="1"/>
    <xf numFmtId="2" fontId="1" fillId="0" borderId="2" xfId="0" applyNumberFormat="1" applyFont="1" applyBorder="1"/>
    <xf numFmtId="2" fontId="1" fillId="3" borderId="6" xfId="0" applyNumberFormat="1" applyFont="1" applyFill="1" applyBorder="1"/>
    <xf numFmtId="0" fontId="1" fillId="6" borderId="4" xfId="0" applyFont="1" applyFill="1" applyBorder="1"/>
    <xf numFmtId="0" fontId="0" fillId="5" borderId="4" xfId="0" applyFill="1" applyBorder="1"/>
    <xf numFmtId="164" fontId="1" fillId="5" borderId="4" xfId="0" applyNumberFormat="1" applyFont="1" applyFill="1" applyBorder="1"/>
    <xf numFmtId="2" fontId="1" fillId="5" borderId="4" xfId="0" applyNumberFormat="1" applyFont="1" applyFill="1" applyBorder="1"/>
    <xf numFmtId="2" fontId="0" fillId="0" borderId="0" xfId="0" applyNumberFormat="1" applyAlignment="1"/>
    <xf numFmtId="1" fontId="1" fillId="6" borderId="4" xfId="0" applyNumberFormat="1" applyFont="1" applyFill="1" applyBorder="1"/>
    <xf numFmtId="2" fontId="5" fillId="3" borderId="4" xfId="0" applyNumberFormat="1" applyFont="1" applyFill="1" applyBorder="1"/>
    <xf numFmtId="4" fontId="0" fillId="0" borderId="0" xfId="0" applyNumberFormat="1"/>
    <xf numFmtId="0" fontId="0" fillId="7" borderId="4" xfId="0" applyFill="1" applyBorder="1"/>
    <xf numFmtId="0" fontId="0" fillId="9" borderId="4" xfId="0" applyFill="1" applyBorder="1"/>
    <xf numFmtId="0" fontId="0" fillId="10" borderId="4" xfId="0" applyFill="1" applyBorder="1"/>
    <xf numFmtId="2" fontId="0" fillId="7" borderId="4" xfId="0" applyNumberFormat="1" applyFill="1" applyBorder="1"/>
    <xf numFmtId="2" fontId="0" fillId="9" borderId="4" xfId="0" applyNumberFormat="1" applyFill="1" applyBorder="1"/>
    <xf numFmtId="2" fontId="0" fillId="10" borderId="4" xfId="0" applyNumberFormat="1" applyFill="1" applyBorder="1"/>
    <xf numFmtId="2" fontId="0" fillId="8" borderId="4" xfId="0" applyNumberFormat="1" applyFill="1" applyBorder="1"/>
    <xf numFmtId="6" fontId="0" fillId="0" borderId="0" xfId="0" applyNumberFormat="1" applyAlignment="1">
      <alignment horizontal="left"/>
    </xf>
    <xf numFmtId="0" fontId="4" fillId="2" borderId="0" xfId="0" applyFont="1" applyFill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AE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56"/>
  <sheetViews>
    <sheetView tabSelected="1" topLeftCell="A7" zoomScaleNormal="100" workbookViewId="0">
      <selection activeCell="F21" sqref="F21"/>
    </sheetView>
  </sheetViews>
  <sheetFormatPr defaultRowHeight="12.75" x14ac:dyDescent="0.2"/>
  <cols>
    <col min="1" max="1" width="4" customWidth="1"/>
    <col min="2" max="2" width="3.28515625" customWidth="1"/>
    <col min="3" max="3" width="3.42578125" customWidth="1"/>
    <col min="4" max="4" width="10.140625" customWidth="1"/>
    <col min="5" max="5" width="9.85546875" customWidth="1"/>
    <col min="6" max="7" width="9.7109375" customWidth="1"/>
    <col min="8" max="8" width="10" customWidth="1"/>
    <col min="9" max="9" width="9.85546875" customWidth="1"/>
    <col min="10" max="10" width="10.140625" bestFit="1" customWidth="1"/>
    <col min="11" max="11" width="10" customWidth="1"/>
    <col min="12" max="12" width="9.7109375" customWidth="1"/>
    <col min="14" max="14" width="9.85546875" customWidth="1"/>
    <col min="15" max="15" width="10.140625" customWidth="1"/>
    <col min="16" max="16" width="11.28515625" customWidth="1"/>
    <col min="17" max="17" width="9.85546875" customWidth="1"/>
  </cols>
  <sheetData>
    <row r="1" spans="1:17" x14ac:dyDescent="0.2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">
      <c r="A2" s="52"/>
      <c r="B2" s="52"/>
      <c r="C2" s="52"/>
      <c r="D2" s="52"/>
      <c r="E2" s="53" t="s">
        <v>33</v>
      </c>
      <c r="F2" s="53"/>
      <c r="G2" s="53"/>
      <c r="H2" s="54" t="s">
        <v>34</v>
      </c>
      <c r="I2" s="54"/>
      <c r="J2" s="54"/>
      <c r="K2" s="55" t="s">
        <v>35</v>
      </c>
      <c r="L2" s="55"/>
      <c r="M2" s="55"/>
    </row>
    <row r="3" spans="1:17" x14ac:dyDescent="0.2">
      <c r="A3" s="52"/>
      <c r="B3" s="52"/>
      <c r="C3" s="52"/>
      <c r="D3" s="52"/>
      <c r="E3" s="25" t="s">
        <v>36</v>
      </c>
      <c r="F3" s="25" t="s">
        <v>37</v>
      </c>
      <c r="G3" s="25" t="s">
        <v>38</v>
      </c>
      <c r="H3" s="26" t="s">
        <v>36</v>
      </c>
      <c r="I3" s="26" t="s">
        <v>37</v>
      </c>
      <c r="J3" s="26" t="s">
        <v>38</v>
      </c>
      <c r="K3" s="27" t="s">
        <v>36</v>
      </c>
      <c r="L3" s="27" t="s">
        <v>37</v>
      </c>
      <c r="M3" s="27" t="s">
        <v>38</v>
      </c>
    </row>
    <row r="4" spans="1:17" x14ac:dyDescent="0.2">
      <c r="A4" s="56" t="s">
        <v>14</v>
      </c>
      <c r="B4" s="56"/>
      <c r="C4" s="56"/>
      <c r="D4" s="56"/>
      <c r="E4" s="28">
        <f>14105.6+14766.8</f>
        <v>28872.400000000001</v>
      </c>
      <c r="F4" s="28">
        <v>0</v>
      </c>
      <c r="G4" s="28">
        <f>E4-F4</f>
        <v>28872.400000000001</v>
      </c>
      <c r="H4" s="29">
        <f>7414.4+7761.95</f>
        <v>15176.349999999999</v>
      </c>
      <c r="I4" s="29">
        <v>0</v>
      </c>
      <c r="J4" s="29">
        <f>H4-I4</f>
        <v>15176.349999999999</v>
      </c>
      <c r="K4" s="30">
        <v>0</v>
      </c>
      <c r="L4" s="30">
        <v>0</v>
      </c>
      <c r="M4" s="30">
        <f>K4-L4</f>
        <v>0</v>
      </c>
    </row>
    <row r="5" spans="1:17" x14ac:dyDescent="0.2">
      <c r="A5" s="40" t="s">
        <v>15</v>
      </c>
      <c r="B5" s="40"/>
      <c r="C5" s="40"/>
      <c r="D5" s="41"/>
      <c r="E5" s="28">
        <f>19659.68+19439.28</f>
        <v>39098.959999999999</v>
      </c>
      <c r="F5" s="28">
        <f>5510+5377.76+705.28+5598.16+5598.16+88.16</f>
        <v>22877.52</v>
      </c>
      <c r="G5" s="28">
        <f t="shared" ref="G5:G13" si="0">E5-F5</f>
        <v>16221.439999999999</v>
      </c>
      <c r="H5" s="29">
        <f>10333.82+10217.97</f>
        <v>20551.79</v>
      </c>
      <c r="I5" s="29">
        <f>2896.25+2826.74+370.72+2942.59+2942.59+46.34</f>
        <v>12025.23</v>
      </c>
      <c r="J5" s="29">
        <f t="shared" ref="J5:J13" si="1">H5-I5</f>
        <v>8526.5600000000013</v>
      </c>
      <c r="K5" s="30">
        <f>1979.28+1679.36</f>
        <v>3658.64</v>
      </c>
      <c r="L5" s="30">
        <v>0</v>
      </c>
      <c r="M5" s="30">
        <f t="shared" ref="M5:M13" si="2">K5-L5</f>
        <v>3658.64</v>
      </c>
    </row>
    <row r="6" spans="1:17" x14ac:dyDescent="0.2">
      <c r="A6" s="40" t="s">
        <v>16</v>
      </c>
      <c r="B6" s="40"/>
      <c r="C6" s="40"/>
      <c r="D6" s="41"/>
      <c r="E6" s="28">
        <f>21405.24+20453.12</f>
        <v>41858.36</v>
      </c>
      <c r="F6" s="28">
        <f>5777.76+8556.04+1057.92+5642.24+10053.52</f>
        <v>31087.48</v>
      </c>
      <c r="G6" s="28">
        <f t="shared" si="0"/>
        <v>10770.880000000001</v>
      </c>
      <c r="H6" s="29">
        <f>11251.35+10750.88</f>
        <v>22002.23</v>
      </c>
      <c r="I6" s="29">
        <f>2826.74+4624.96+556.08+2965.76+5352.27</f>
        <v>16325.810000000001</v>
      </c>
      <c r="J6" s="29">
        <f t="shared" si="1"/>
        <v>5676.4199999999983</v>
      </c>
      <c r="K6" s="30">
        <f>2728.03+2314.65</f>
        <v>5042.68</v>
      </c>
      <c r="L6" s="30">
        <f>1528.92+746.74+123.79+601.93+746.92</f>
        <v>3748.2999999999997</v>
      </c>
      <c r="M6" s="30">
        <f t="shared" si="2"/>
        <v>1294.3800000000006</v>
      </c>
    </row>
    <row r="7" spans="1:17" x14ac:dyDescent="0.2">
      <c r="A7" s="40" t="s">
        <v>17</v>
      </c>
      <c r="B7" s="40"/>
      <c r="C7" s="40"/>
      <c r="D7" s="41"/>
      <c r="E7" s="28">
        <f>19130.72+18778.08</f>
        <v>37908.800000000003</v>
      </c>
      <c r="F7" s="28">
        <f>22752.11+18695.78</f>
        <v>41447.89</v>
      </c>
      <c r="G7" s="28">
        <f t="shared" si="0"/>
        <v>-3539.0899999999965</v>
      </c>
      <c r="H7" s="29">
        <f>10055.78+9870.42</f>
        <v>19926.2</v>
      </c>
      <c r="I7" s="29">
        <f>4564.49+5630.08+1761.05+3127.95+6024.2+69.51</f>
        <v>21177.279999999999</v>
      </c>
      <c r="J7" s="29">
        <f t="shared" si="1"/>
        <v>-1251.0799999999981</v>
      </c>
      <c r="K7" s="30">
        <v>0</v>
      </c>
      <c r="L7" s="30">
        <f>1470.41+1188.67+497.74+809.82+1186.36</f>
        <v>5153</v>
      </c>
      <c r="M7" s="30">
        <f t="shared" si="2"/>
        <v>-5153</v>
      </c>
    </row>
    <row r="8" spans="1:17" x14ac:dyDescent="0.2">
      <c r="A8" s="40" t="s">
        <v>18</v>
      </c>
      <c r="B8" s="40"/>
      <c r="C8" s="40"/>
      <c r="D8" s="41"/>
      <c r="E8" s="28">
        <f>26626.23+20512.45</f>
        <v>47138.68</v>
      </c>
      <c r="F8" s="28">
        <f>6094.85+10094.32+705.28+7096.88+10240.4+197.42</f>
        <v>34429.15</v>
      </c>
      <c r="G8" s="28">
        <f t="shared" si="0"/>
        <v>12709.529999999999</v>
      </c>
      <c r="H8" s="29">
        <f>11995.52+10690.85</f>
        <v>22686.370000000003</v>
      </c>
      <c r="I8" s="29">
        <f>3290.01+5305.93+370.72+3730.37+5908.35+115.85</f>
        <v>18721.229999999996</v>
      </c>
      <c r="J8" s="29">
        <f t="shared" si="1"/>
        <v>3965.1400000000067</v>
      </c>
      <c r="K8" s="30">
        <v>0</v>
      </c>
      <c r="L8" s="30">
        <f>41.88+128.57+91.13+126.89+31.67</f>
        <v>420.14</v>
      </c>
      <c r="M8" s="30">
        <f t="shared" si="2"/>
        <v>-420.14</v>
      </c>
    </row>
    <row r="9" spans="1:17" x14ac:dyDescent="0.2">
      <c r="A9" s="40" t="s">
        <v>19</v>
      </c>
      <c r="B9" s="40"/>
      <c r="C9" s="40"/>
      <c r="D9" s="41"/>
      <c r="E9" s="28">
        <f>22096.26+20603.92</f>
        <v>42700.179999999993</v>
      </c>
      <c r="F9" s="28">
        <f>9141.67+12467.02+733.7+7165.2+15673.19+197.42</f>
        <v>45378.200000000004</v>
      </c>
      <c r="G9" s="28">
        <f t="shared" si="0"/>
        <v>-2678.0200000000114</v>
      </c>
      <c r="H9" s="29">
        <f>11516.31+10738.52</f>
        <v>22254.83</v>
      </c>
      <c r="I9" s="29">
        <f>4768.25+6739.42+384.16+3736.18+8226.64+115.85</f>
        <v>23970.5</v>
      </c>
      <c r="J9" s="29">
        <f t="shared" si="1"/>
        <v>-1715.6699999999983</v>
      </c>
      <c r="K9" s="30">
        <f>2369.9+2010.85</f>
        <v>4380.75</v>
      </c>
      <c r="L9" s="30">
        <f>32.8+43.29+202.33</f>
        <v>278.42</v>
      </c>
      <c r="M9" s="30">
        <f t="shared" si="2"/>
        <v>4102.33</v>
      </c>
    </row>
    <row r="10" spans="1:17" x14ac:dyDescent="0.2">
      <c r="A10" s="40" t="s">
        <v>20</v>
      </c>
      <c r="B10" s="40"/>
      <c r="C10" s="40"/>
      <c r="D10" s="41"/>
      <c r="E10" s="28">
        <f>23347.9+21614.86</f>
        <v>44962.76</v>
      </c>
      <c r="F10" s="28">
        <f>7894.96+12362.12+1170.43+6928.2+9487.3+139.56</f>
        <v>37982.57</v>
      </c>
      <c r="G10" s="28">
        <f t="shared" si="0"/>
        <v>6980.1900000000023</v>
      </c>
      <c r="H10" s="29">
        <f>12168.65+11265.41</f>
        <v>23434.059999999998</v>
      </c>
      <c r="I10" s="29">
        <f>4114.76+6450.44+903.24+3612.96+4992.55+59.78</f>
        <v>20133.73</v>
      </c>
      <c r="J10" s="29">
        <f t="shared" si="1"/>
        <v>3300.3299999999981</v>
      </c>
      <c r="K10" s="30">
        <f>546.98+464.06</f>
        <v>1011.04</v>
      </c>
      <c r="L10" s="30">
        <f>736.02+1054.31+176.21+686.87+1110.43+27.52</f>
        <v>3791.36</v>
      </c>
      <c r="M10" s="30">
        <f t="shared" si="2"/>
        <v>-2780.32</v>
      </c>
    </row>
    <row r="11" spans="1:17" x14ac:dyDescent="0.2">
      <c r="A11" s="40" t="s">
        <v>21</v>
      </c>
      <c r="B11" s="40"/>
      <c r="C11" s="40"/>
      <c r="D11" s="41"/>
      <c r="E11" s="28">
        <f>21422.3+18582.04</f>
        <v>40004.339999999997</v>
      </c>
      <c r="F11" s="28">
        <f>10822.22+11997.61+985.12+9680.1+9773.63+240.69</f>
        <v>43499.37</v>
      </c>
      <c r="G11" s="28">
        <f t="shared" si="0"/>
        <v>-3495.0300000000061</v>
      </c>
      <c r="H11" s="29">
        <f>11165.05+9684.74</f>
        <v>20849.79</v>
      </c>
      <c r="I11" s="29">
        <f>5645.51+6347.77+200.72+5043.09+5519.8+125.45</f>
        <v>22882.34</v>
      </c>
      <c r="J11" s="29">
        <f t="shared" si="1"/>
        <v>-2032.5499999999993</v>
      </c>
      <c r="K11" s="30">
        <f>1927.16+1635.19</f>
        <v>3562.3500000000004</v>
      </c>
      <c r="L11" s="30">
        <f>284.59+288.11+293.2+310.16+6.35</f>
        <v>1182.4100000000001</v>
      </c>
      <c r="M11" s="30">
        <f t="shared" si="2"/>
        <v>2379.9400000000005</v>
      </c>
    </row>
    <row r="12" spans="1:17" x14ac:dyDescent="0.2">
      <c r="A12" s="40" t="s">
        <v>22</v>
      </c>
      <c r="B12" s="40"/>
      <c r="C12" s="40"/>
      <c r="D12" s="41"/>
      <c r="E12" s="28">
        <f>23733.02+17811.8</f>
        <v>41544.82</v>
      </c>
      <c r="F12" s="28">
        <f>6654.92+10305.47+1588.62+6498.9+10900.41+96.29</f>
        <v>36044.609999999993</v>
      </c>
      <c r="G12" s="28">
        <f t="shared" si="0"/>
        <v>5500.2100000000064</v>
      </c>
      <c r="H12" s="29">
        <f>12369.37+9283.3</f>
        <v>21652.67</v>
      </c>
      <c r="I12" s="29">
        <f>3470.23+5170.34+827.97+3387.15+5366.26+50.18</f>
        <v>18272.129999999997</v>
      </c>
      <c r="J12" s="29">
        <f t="shared" si="1"/>
        <v>3380.5400000000009</v>
      </c>
      <c r="K12" s="30">
        <f>2552.18+2165.48</f>
        <v>4717.66</v>
      </c>
      <c r="L12" s="30">
        <f>477.08+878.34+99.79+584.22+849.28</f>
        <v>2888.71</v>
      </c>
      <c r="M12" s="30">
        <f t="shared" si="2"/>
        <v>1828.9499999999998</v>
      </c>
    </row>
    <row r="13" spans="1:17" x14ac:dyDescent="0.2">
      <c r="A13" s="40" t="s">
        <v>23</v>
      </c>
      <c r="B13" s="40"/>
      <c r="C13" s="40"/>
      <c r="D13" s="41"/>
      <c r="E13" s="28">
        <f>19978.1+18437.62</f>
        <v>38415.72</v>
      </c>
      <c r="F13" s="28">
        <f>11172.41+11541.42+1925.6+7269.14+8720.78+100.36</f>
        <v>40729.71</v>
      </c>
      <c r="G13" s="28">
        <f t="shared" si="0"/>
        <v>-2313.989999999998</v>
      </c>
      <c r="H13" s="29">
        <f>10412.35+9609.47</f>
        <v>20021.82</v>
      </c>
      <c r="I13" s="29">
        <f>5644.17+6015.84+812.88+3788.59+4315.3+192.56</f>
        <v>20769.34</v>
      </c>
      <c r="J13" s="29">
        <f t="shared" si="1"/>
        <v>-747.52000000000044</v>
      </c>
      <c r="K13" s="30">
        <v>0</v>
      </c>
      <c r="L13" s="30">
        <f>733.64+1233+240.72+830.38+1017.76+29.63</f>
        <v>4085.13</v>
      </c>
      <c r="M13" s="30">
        <f t="shared" si="2"/>
        <v>-4085.13</v>
      </c>
    </row>
    <row r="14" spans="1:17" x14ac:dyDescent="0.2">
      <c r="A14" s="57" t="s">
        <v>39</v>
      </c>
      <c r="B14" s="57"/>
      <c r="C14" s="57"/>
      <c r="D14" s="57"/>
      <c r="E14" s="31">
        <f t="shared" ref="E14:M14" si="3">SUM(E4:E13)</f>
        <v>402505.02</v>
      </c>
      <c r="F14" s="31">
        <f t="shared" si="3"/>
        <v>333476.50000000006</v>
      </c>
      <c r="G14" s="31">
        <f t="shared" si="3"/>
        <v>69028.51999999999</v>
      </c>
      <c r="H14" s="31">
        <f t="shared" si="3"/>
        <v>208556.11000000004</v>
      </c>
      <c r="I14" s="31">
        <f t="shared" si="3"/>
        <v>174277.59</v>
      </c>
      <c r="J14" s="31">
        <f t="shared" si="3"/>
        <v>34278.520000000004</v>
      </c>
      <c r="K14" s="31">
        <f t="shared" si="3"/>
        <v>22373.119999999999</v>
      </c>
      <c r="L14" s="31">
        <f t="shared" si="3"/>
        <v>21547.47</v>
      </c>
      <c r="M14" s="31">
        <f t="shared" si="3"/>
        <v>825.65000000000055</v>
      </c>
    </row>
    <row r="18" spans="1:17" x14ac:dyDescent="0.2">
      <c r="A18" s="33" t="s">
        <v>29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2.75" customHeight="1" x14ac:dyDescent="0.2">
      <c r="A19" s="2"/>
      <c r="B19" s="3" t="s">
        <v>2</v>
      </c>
      <c r="C19" s="4" t="s">
        <v>3</v>
      </c>
      <c r="D19" s="37" t="s">
        <v>1</v>
      </c>
      <c r="E19" s="38"/>
      <c r="F19" s="39"/>
      <c r="G19" s="47" t="s">
        <v>40</v>
      </c>
      <c r="H19" s="47" t="s">
        <v>41</v>
      </c>
      <c r="I19" s="47" t="s">
        <v>42</v>
      </c>
      <c r="J19" s="47" t="s">
        <v>43</v>
      </c>
      <c r="K19" s="34" t="s">
        <v>6</v>
      </c>
      <c r="L19" s="35"/>
      <c r="M19" s="35"/>
      <c r="N19" s="35"/>
      <c r="O19" s="36"/>
      <c r="P19" s="45" t="s">
        <v>5</v>
      </c>
      <c r="Q19" s="42" t="s">
        <v>0</v>
      </c>
    </row>
    <row r="20" spans="1:17" ht="32.25" customHeight="1" thickBot="1" x14ac:dyDescent="0.25">
      <c r="A20" s="2"/>
      <c r="B20" s="6"/>
      <c r="C20" s="7" t="s">
        <v>4</v>
      </c>
      <c r="D20" s="8" t="s">
        <v>8</v>
      </c>
      <c r="E20" s="8" t="s">
        <v>9</v>
      </c>
      <c r="F20" s="5" t="s">
        <v>10</v>
      </c>
      <c r="G20" s="50"/>
      <c r="H20" s="50"/>
      <c r="I20" s="50"/>
      <c r="J20" s="50"/>
      <c r="K20" s="47" t="s">
        <v>44</v>
      </c>
      <c r="L20" s="45" t="s">
        <v>11</v>
      </c>
      <c r="M20" s="47" t="s">
        <v>45</v>
      </c>
      <c r="N20" s="47" t="s">
        <v>46</v>
      </c>
      <c r="O20" s="47" t="s">
        <v>47</v>
      </c>
      <c r="P20" s="49"/>
      <c r="Q20" s="43"/>
    </row>
    <row r="21" spans="1:17" ht="24" customHeight="1" thickBot="1" x14ac:dyDescent="0.25">
      <c r="A21" s="2"/>
      <c r="B21" s="6">
        <v>7912.77</v>
      </c>
      <c r="C21" s="7"/>
      <c r="D21" s="8"/>
      <c r="E21" s="15"/>
      <c r="F21" s="16">
        <v>-203737.63</v>
      </c>
      <c r="G21" s="48"/>
      <c r="H21" s="48"/>
      <c r="I21" s="48"/>
      <c r="J21" s="48"/>
      <c r="K21" s="48"/>
      <c r="L21" s="46"/>
      <c r="M21" s="48"/>
      <c r="N21" s="48"/>
      <c r="O21" s="48"/>
      <c r="P21" s="46"/>
      <c r="Q21" s="44"/>
    </row>
    <row r="22" spans="1:17" x14ac:dyDescent="0.2">
      <c r="A22" s="14" t="s">
        <v>12</v>
      </c>
      <c r="B22" s="9"/>
      <c r="C22" s="10"/>
      <c r="D22" s="11">
        <f>16143.09+12157.95+871.25+12963.87+12225.55</f>
        <v>54361.710000000006</v>
      </c>
      <c r="E22" s="11">
        <f>5974.52+3838.3+4329.5+4114.8</f>
        <v>18257.12</v>
      </c>
      <c r="F22" s="11">
        <f t="shared" ref="F22:F34" si="4">SUM(D22:E22)</f>
        <v>72618.83</v>
      </c>
      <c r="G22" s="13">
        <f t="shared" ref="G22:G33" si="5">SUM(F22*0.09)</f>
        <v>6535.6947</v>
      </c>
      <c r="H22" s="13">
        <v>0</v>
      </c>
      <c r="I22" s="13">
        <v>11086.5</v>
      </c>
      <c r="J22" s="13">
        <f>669+376</f>
        <v>1045</v>
      </c>
      <c r="K22" s="13">
        <f>B21*1.4</f>
        <v>11077.878000000001</v>
      </c>
      <c r="L22" s="13">
        <v>41704.559999999998</v>
      </c>
      <c r="M22" s="13">
        <v>4000</v>
      </c>
      <c r="N22" s="13">
        <f>3996+3500</f>
        <v>7496</v>
      </c>
      <c r="O22" s="13">
        <f t="shared" ref="O22:O34" si="6">SUM(F22*0.15)</f>
        <v>10892.824500000001</v>
      </c>
      <c r="P22" s="13">
        <f t="shared" ref="P22:P34" si="7">SUM(G22:O22)</f>
        <v>93838.457200000004</v>
      </c>
      <c r="Q22" s="12">
        <f t="shared" ref="Q22:Q34" si="8">F22-P22</f>
        <v>-21219.627200000003</v>
      </c>
    </row>
    <row r="23" spans="1:17" x14ac:dyDescent="0.2">
      <c r="A23" s="14" t="s">
        <v>13</v>
      </c>
      <c r="B23" s="9"/>
      <c r="C23" s="10"/>
      <c r="D23" s="11">
        <f>15613.15+13354.09+1114.6+15429.62+13773.16</f>
        <v>59284.619999999995</v>
      </c>
      <c r="E23" s="11">
        <f>5308.23+3826.5+351.9+4767.3+4259.49</f>
        <v>18513.419999999998</v>
      </c>
      <c r="F23" s="11">
        <f t="shared" si="4"/>
        <v>77798.039999999994</v>
      </c>
      <c r="G23" s="13">
        <f t="shared" si="5"/>
        <v>7001.8235999999988</v>
      </c>
      <c r="H23" s="13">
        <v>0</v>
      </c>
      <c r="I23" s="13">
        <v>11086.5</v>
      </c>
      <c r="J23" s="13">
        <v>0</v>
      </c>
      <c r="K23" s="13">
        <v>11077.88</v>
      </c>
      <c r="L23" s="13">
        <v>41704.559999999998</v>
      </c>
      <c r="M23" s="13">
        <v>4000</v>
      </c>
      <c r="N23" s="13">
        <v>3996</v>
      </c>
      <c r="O23" s="13">
        <f t="shared" si="6"/>
        <v>11669.705999999998</v>
      </c>
      <c r="P23" s="13">
        <f t="shared" si="7"/>
        <v>90536.469600000011</v>
      </c>
      <c r="Q23" s="12">
        <f t="shared" si="8"/>
        <v>-12738.429600000018</v>
      </c>
    </row>
    <row r="24" spans="1:17" x14ac:dyDescent="0.2">
      <c r="A24" s="14" t="s">
        <v>14</v>
      </c>
      <c r="B24" s="9"/>
      <c r="C24" s="10"/>
      <c r="D24" s="11">
        <f>13824.07+15880.53+173.4+14262.7+23122.23</f>
        <v>67262.929999999993</v>
      </c>
      <c r="E24" s="11">
        <f>5140.01+5332.62+148.2+5031.9+6890.29</f>
        <v>22543.02</v>
      </c>
      <c r="F24" s="11">
        <f t="shared" si="4"/>
        <v>89805.95</v>
      </c>
      <c r="G24" s="13">
        <f t="shared" si="5"/>
        <v>8082.535499999999</v>
      </c>
      <c r="H24" s="13">
        <v>7912.77</v>
      </c>
      <c r="I24" s="13">
        <v>11086.5</v>
      </c>
      <c r="J24" s="13">
        <v>2345</v>
      </c>
      <c r="K24" s="13">
        <v>11077.88</v>
      </c>
      <c r="L24" s="13">
        <v>41704.559999999998</v>
      </c>
      <c r="M24" s="13">
        <v>4000</v>
      </c>
      <c r="N24" s="13">
        <v>3996</v>
      </c>
      <c r="O24" s="13">
        <f t="shared" si="6"/>
        <v>13470.8925</v>
      </c>
      <c r="P24" s="13">
        <f t="shared" si="7"/>
        <v>103676.13799999999</v>
      </c>
      <c r="Q24" s="12">
        <f t="shared" si="8"/>
        <v>-13870.187999999995</v>
      </c>
    </row>
    <row r="25" spans="1:17" x14ac:dyDescent="0.2">
      <c r="A25" s="14" t="s">
        <v>15</v>
      </c>
      <c r="B25" s="9"/>
      <c r="C25" s="10"/>
      <c r="D25" s="11">
        <f>17212.19+23917.59+5425.25+15269.12+27396.17+393.75</f>
        <v>89614.07</v>
      </c>
      <c r="E25" s="11">
        <f>5356.94+6767.4+1793.2+4860+7972.4+112.5</f>
        <v>26862.440000000002</v>
      </c>
      <c r="F25" s="11">
        <f t="shared" si="4"/>
        <v>116476.51000000001</v>
      </c>
      <c r="G25" s="13">
        <f t="shared" si="5"/>
        <v>10482.885900000001</v>
      </c>
      <c r="H25" s="13">
        <v>7912.77</v>
      </c>
      <c r="I25" s="13">
        <v>11086.5</v>
      </c>
      <c r="J25" s="13">
        <v>1747</v>
      </c>
      <c r="K25" s="13">
        <v>11077.88</v>
      </c>
      <c r="L25" s="13">
        <v>41704.559999999998</v>
      </c>
      <c r="M25" s="13">
        <v>4000</v>
      </c>
      <c r="N25" s="13">
        <f>3996+630</f>
        <v>4626</v>
      </c>
      <c r="O25" s="13">
        <f t="shared" si="6"/>
        <v>17471.476500000001</v>
      </c>
      <c r="P25" s="13">
        <f t="shared" si="7"/>
        <v>110109.0724</v>
      </c>
      <c r="Q25" s="12">
        <f t="shared" si="8"/>
        <v>6367.4376000000047</v>
      </c>
    </row>
    <row r="26" spans="1:17" x14ac:dyDescent="0.2">
      <c r="A26" s="14" t="s">
        <v>16</v>
      </c>
      <c r="B26" s="9"/>
      <c r="C26" s="10"/>
      <c r="D26" s="11">
        <f>15446.25+19811.99+7169.54+17297.7+26358.2</f>
        <v>86083.680000000008</v>
      </c>
      <c r="E26" s="11">
        <f>4324.35+5281.2+1684.67+5554.43+6777.6</f>
        <v>23622.25</v>
      </c>
      <c r="F26" s="11">
        <f t="shared" si="4"/>
        <v>109705.93000000001</v>
      </c>
      <c r="G26" s="13">
        <f t="shared" si="5"/>
        <v>9873.5337</v>
      </c>
      <c r="H26" s="13">
        <v>7912.77</v>
      </c>
      <c r="I26" s="13">
        <v>11086.5</v>
      </c>
      <c r="J26" s="13">
        <v>974</v>
      </c>
      <c r="K26" s="13">
        <v>11077.88</v>
      </c>
      <c r="L26" s="13">
        <v>41704.559999999998</v>
      </c>
      <c r="M26" s="13">
        <v>4000</v>
      </c>
      <c r="N26" s="13">
        <f>3996+2900</f>
        <v>6896</v>
      </c>
      <c r="O26" s="13">
        <f t="shared" si="6"/>
        <v>16455.889500000001</v>
      </c>
      <c r="P26" s="13">
        <f t="shared" si="7"/>
        <v>109981.1332</v>
      </c>
      <c r="Q26" s="12">
        <f t="shared" si="8"/>
        <v>-275.20319999998901</v>
      </c>
    </row>
    <row r="27" spans="1:17" x14ac:dyDescent="0.2">
      <c r="A27" s="14" t="s">
        <v>17</v>
      </c>
      <c r="B27" s="9"/>
      <c r="C27" s="10"/>
      <c r="D27" s="11">
        <f>14232.72+19668.37+4321.18+12322.5+20787.71+523.95</f>
        <v>71856.429999999993</v>
      </c>
      <c r="E27" s="11">
        <f>4153.95+5834.9+1475.6+3649.2+5947.3+149.7</f>
        <v>21210.649999999998</v>
      </c>
      <c r="F27" s="11">
        <f t="shared" si="4"/>
        <v>93067.079999999987</v>
      </c>
      <c r="G27" s="13">
        <f t="shared" si="5"/>
        <v>8376.0371999999988</v>
      </c>
      <c r="H27" s="13">
        <v>7912.77</v>
      </c>
      <c r="I27" s="13">
        <v>11086.5</v>
      </c>
      <c r="J27" s="13">
        <f>163+682+32756</f>
        <v>33601</v>
      </c>
      <c r="K27" s="13">
        <v>11077.88</v>
      </c>
      <c r="L27" s="13">
        <v>41704.559999999998</v>
      </c>
      <c r="M27" s="13">
        <v>4000</v>
      </c>
      <c r="N27" s="13">
        <f>3996+980</f>
        <v>4976</v>
      </c>
      <c r="O27" s="13">
        <f t="shared" si="6"/>
        <v>13960.061999999998</v>
      </c>
      <c r="P27" s="13">
        <f t="shared" si="7"/>
        <v>136694.80919999999</v>
      </c>
      <c r="Q27" s="12">
        <f t="shared" si="8"/>
        <v>-43627.729200000002</v>
      </c>
    </row>
    <row r="28" spans="1:17" x14ac:dyDescent="0.2">
      <c r="A28" s="14" t="s">
        <v>18</v>
      </c>
      <c r="B28" s="9"/>
      <c r="C28" s="10"/>
      <c r="D28" s="11">
        <f>14957.75+18166.14+1751.16+13040.35+20540.16+523.95</f>
        <v>68979.509999999995</v>
      </c>
      <c r="E28" s="11">
        <f>4442.61+5797.84+708.9+3725.7+6125.1+149.7</f>
        <v>20949.850000000002</v>
      </c>
      <c r="F28" s="11">
        <f t="shared" si="4"/>
        <v>89929.36</v>
      </c>
      <c r="G28" s="13">
        <f t="shared" si="5"/>
        <v>8093.6423999999997</v>
      </c>
      <c r="H28" s="13">
        <v>7912.77</v>
      </c>
      <c r="I28" s="13">
        <v>11086.5</v>
      </c>
      <c r="J28" s="13">
        <v>3706</v>
      </c>
      <c r="K28" s="13">
        <v>11077.88</v>
      </c>
      <c r="L28" s="13">
        <v>41704.559999999998</v>
      </c>
      <c r="M28" s="13">
        <v>4000</v>
      </c>
      <c r="N28" s="13">
        <f>3996+2530</f>
        <v>6526</v>
      </c>
      <c r="O28" s="13">
        <f t="shared" si="6"/>
        <v>13489.404</v>
      </c>
      <c r="P28" s="13">
        <f t="shared" si="7"/>
        <v>107596.7564</v>
      </c>
      <c r="Q28" s="12">
        <f t="shared" si="8"/>
        <v>-17667.396399999998</v>
      </c>
    </row>
    <row r="29" spans="1:17" x14ac:dyDescent="0.2">
      <c r="A29" s="14" t="s">
        <v>19</v>
      </c>
      <c r="B29" s="9"/>
      <c r="C29" s="10"/>
      <c r="D29" s="11">
        <f>15954.07+23590.04+1943.68+14753.6+25030.11+523.95</f>
        <v>81795.45</v>
      </c>
      <c r="E29" s="11">
        <f>4834.11+7107+555+4344+7558+181.37</f>
        <v>24579.48</v>
      </c>
      <c r="F29" s="11">
        <f t="shared" si="4"/>
        <v>106374.93</v>
      </c>
      <c r="G29" s="13">
        <f t="shared" si="5"/>
        <v>9573.7436999999991</v>
      </c>
      <c r="H29" s="13">
        <v>7912.77</v>
      </c>
      <c r="I29" s="13">
        <v>11086.5</v>
      </c>
      <c r="J29" s="13">
        <v>0</v>
      </c>
      <c r="K29" s="13">
        <v>11077.88</v>
      </c>
      <c r="L29" s="13">
        <v>41704.559999999998</v>
      </c>
      <c r="M29" s="13">
        <v>4000</v>
      </c>
      <c r="N29" s="13">
        <v>3996</v>
      </c>
      <c r="O29" s="13">
        <f t="shared" si="6"/>
        <v>15956.239499999998</v>
      </c>
      <c r="P29" s="13">
        <f t="shared" si="7"/>
        <v>105307.69319999999</v>
      </c>
      <c r="Q29" s="12">
        <f t="shared" si="8"/>
        <v>1067.2367999999988</v>
      </c>
    </row>
    <row r="30" spans="1:17" x14ac:dyDescent="0.2">
      <c r="A30" s="14" t="s">
        <v>20</v>
      </c>
      <c r="B30" s="9"/>
      <c r="C30" s="10"/>
      <c r="D30" s="11">
        <f>17874.47+26792.64+4627.4+13328.1+22068.03+523.95</f>
        <v>85214.59</v>
      </c>
      <c r="E30" s="11">
        <f>5133.98+6809.7+1322.4+3936.6+8025.2+118.03</f>
        <v>25345.91</v>
      </c>
      <c r="F30" s="11">
        <f t="shared" si="4"/>
        <v>110560.5</v>
      </c>
      <c r="G30" s="13">
        <f t="shared" si="5"/>
        <v>9950.4449999999997</v>
      </c>
      <c r="H30" s="13">
        <v>7912.77</v>
      </c>
      <c r="I30" s="13">
        <v>11086.5</v>
      </c>
      <c r="J30" s="13">
        <f>1199+2341+9615</f>
        <v>13155</v>
      </c>
      <c r="K30" s="13">
        <v>11077.88</v>
      </c>
      <c r="L30" s="13">
        <v>41704.559999999998</v>
      </c>
      <c r="M30" s="13">
        <v>4000</v>
      </c>
      <c r="N30" s="13">
        <f>4955.04+4000+895</f>
        <v>9850.0400000000009</v>
      </c>
      <c r="O30" s="13">
        <f t="shared" si="6"/>
        <v>16584.075000000001</v>
      </c>
      <c r="P30" s="13">
        <f t="shared" si="7"/>
        <v>125321.27</v>
      </c>
      <c r="Q30" s="12">
        <f t="shared" si="8"/>
        <v>-14760.770000000004</v>
      </c>
    </row>
    <row r="31" spans="1:17" x14ac:dyDescent="0.2">
      <c r="A31" s="14" t="s">
        <v>21</v>
      </c>
      <c r="B31" s="9"/>
      <c r="C31" s="10"/>
      <c r="D31" s="11">
        <f>22421.07+20500.12+531.3+16519.65+18990.15+523.93</f>
        <v>79486.22</v>
      </c>
      <c r="E31" s="11">
        <f>6794.36+5838.6+151.8+4719.9+5682.81+149.7</f>
        <v>23337.17</v>
      </c>
      <c r="F31" s="11">
        <f t="shared" si="4"/>
        <v>102823.39</v>
      </c>
      <c r="G31" s="13">
        <f t="shared" si="5"/>
        <v>9254.1050999999989</v>
      </c>
      <c r="H31" s="13">
        <v>7912.77</v>
      </c>
      <c r="I31" s="13">
        <v>11086.5</v>
      </c>
      <c r="J31" s="13">
        <f>35108+5833</f>
        <v>40941</v>
      </c>
      <c r="K31" s="13">
        <v>11077.88</v>
      </c>
      <c r="L31" s="13">
        <v>41704.559999999998</v>
      </c>
      <c r="M31" s="13">
        <v>4000</v>
      </c>
      <c r="N31" s="13">
        <f>4955.04+4000</f>
        <v>8955.0400000000009</v>
      </c>
      <c r="O31" s="13">
        <f t="shared" si="6"/>
        <v>15423.5085</v>
      </c>
      <c r="P31" s="13">
        <f t="shared" si="7"/>
        <v>150355.36360000001</v>
      </c>
      <c r="Q31" s="12">
        <f t="shared" si="8"/>
        <v>-47531.973600000012</v>
      </c>
    </row>
    <row r="32" spans="1:17" x14ac:dyDescent="0.2">
      <c r="A32" s="14" t="s">
        <v>22</v>
      </c>
      <c r="B32" s="9"/>
      <c r="C32" s="10"/>
      <c r="D32" s="11">
        <f>15619.05+21216.31+3833.95+13680.45+21528+523.97</f>
        <v>76401.73</v>
      </c>
      <c r="E32" s="11">
        <f>5058.86+5915.1+1223.7+3908.7+6408+149.7</f>
        <v>22664.06</v>
      </c>
      <c r="F32" s="11">
        <f t="shared" si="4"/>
        <v>99065.79</v>
      </c>
      <c r="G32" s="13">
        <f t="shared" si="5"/>
        <v>8915.9210999999996</v>
      </c>
      <c r="H32" s="13">
        <v>7912.77</v>
      </c>
      <c r="I32" s="13">
        <v>11086.5</v>
      </c>
      <c r="J32" s="13">
        <f>48+3487</f>
        <v>3535</v>
      </c>
      <c r="K32" s="13">
        <v>11077.88</v>
      </c>
      <c r="L32" s="13">
        <v>41704.559999999998</v>
      </c>
      <c r="M32" s="13">
        <v>4000</v>
      </c>
      <c r="N32" s="13">
        <f>4955.04+12684</f>
        <v>17639.04</v>
      </c>
      <c r="O32" s="13">
        <f t="shared" si="6"/>
        <v>14859.868499999999</v>
      </c>
      <c r="P32" s="13">
        <f t="shared" si="7"/>
        <v>120731.5396</v>
      </c>
      <c r="Q32" s="12">
        <f t="shared" si="8"/>
        <v>-21665.74960000001</v>
      </c>
    </row>
    <row r="33" spans="1:17" x14ac:dyDescent="0.2">
      <c r="A33" s="14" t="s">
        <v>23</v>
      </c>
      <c r="B33" s="9"/>
      <c r="C33" s="10"/>
      <c r="D33" s="11">
        <f>19245.75+21230.17+1990.8+16352.7+17433.83+523.95</f>
        <v>76777.2</v>
      </c>
      <c r="E33" s="11">
        <f>5978.91+5824.8+568.8+4672.29+5259.5+149.7</f>
        <v>22454</v>
      </c>
      <c r="F33" s="11">
        <f t="shared" si="4"/>
        <v>99231.2</v>
      </c>
      <c r="G33" s="13">
        <f t="shared" si="5"/>
        <v>8930.8079999999991</v>
      </c>
      <c r="H33" s="13">
        <v>7912.77</v>
      </c>
      <c r="I33" s="13">
        <v>11086.5</v>
      </c>
      <c r="J33" s="13">
        <f>408+2684</f>
        <v>3092</v>
      </c>
      <c r="K33" s="13">
        <v>11077.88</v>
      </c>
      <c r="L33" s="13">
        <v>41704.559999999998</v>
      </c>
      <c r="M33" s="13">
        <v>4000</v>
      </c>
      <c r="N33" s="13">
        <v>4955.04</v>
      </c>
      <c r="O33" s="13">
        <f t="shared" si="6"/>
        <v>14884.679999999998</v>
      </c>
      <c r="P33" s="13">
        <f t="shared" si="7"/>
        <v>107644.23799999998</v>
      </c>
      <c r="Q33" s="12">
        <f t="shared" si="8"/>
        <v>-8413.0379999999859</v>
      </c>
    </row>
    <row r="34" spans="1:17" x14ac:dyDescent="0.2">
      <c r="A34" s="17" t="s">
        <v>24</v>
      </c>
      <c r="B34" s="17"/>
      <c r="C34" s="22"/>
      <c r="D34" s="11">
        <f>1800+1800+1800+1800</f>
        <v>7200</v>
      </c>
      <c r="E34" s="11">
        <v>0</v>
      </c>
      <c r="F34" s="11">
        <f t="shared" si="4"/>
        <v>7200</v>
      </c>
      <c r="G34" s="13">
        <f>SUM(F34*0.06)</f>
        <v>432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6"/>
        <v>1080</v>
      </c>
      <c r="P34" s="13">
        <f t="shared" si="7"/>
        <v>1512</v>
      </c>
      <c r="Q34" s="12">
        <f t="shared" si="8"/>
        <v>5688</v>
      </c>
    </row>
    <row r="35" spans="1:17" x14ac:dyDescent="0.2">
      <c r="A35" s="18" t="s">
        <v>10</v>
      </c>
      <c r="B35" s="18"/>
      <c r="C35" s="18"/>
      <c r="D35" s="19">
        <f>SUM(D22:D34)</f>
        <v>904318.1399999999</v>
      </c>
      <c r="E35" s="19">
        <f>SUM(E22:E34)</f>
        <v>270339.37</v>
      </c>
      <c r="F35" s="20">
        <f>SUM(F21:F34)</f>
        <v>970919.88</v>
      </c>
      <c r="G35" s="19">
        <f t="shared" ref="G35:P35" si="9">SUM(G22:G34)</f>
        <v>105503.17589999999</v>
      </c>
      <c r="H35" s="19">
        <f t="shared" si="9"/>
        <v>79127.700000000026</v>
      </c>
      <c r="I35" s="19">
        <f t="shared" si="9"/>
        <v>133038</v>
      </c>
      <c r="J35" s="19">
        <f t="shared" si="9"/>
        <v>104141</v>
      </c>
      <c r="K35" s="19">
        <f t="shared" si="9"/>
        <v>132934.55800000002</v>
      </c>
      <c r="L35" s="19">
        <f t="shared" si="9"/>
        <v>500454.72</v>
      </c>
      <c r="M35" s="19">
        <f t="shared" si="9"/>
        <v>48000</v>
      </c>
      <c r="N35" s="19">
        <f t="shared" si="9"/>
        <v>83907.159999999989</v>
      </c>
      <c r="O35" s="19">
        <f t="shared" si="9"/>
        <v>176198.62649999998</v>
      </c>
      <c r="P35" s="19">
        <f t="shared" si="9"/>
        <v>1363304.9403999997</v>
      </c>
      <c r="Q35" s="23">
        <f>F35-P35</f>
        <v>-392385.06039999973</v>
      </c>
    </row>
    <row r="37" spans="1:17" x14ac:dyDescent="0.2">
      <c r="E37" t="s">
        <v>12</v>
      </c>
      <c r="F37" t="s">
        <v>30</v>
      </c>
      <c r="G37" t="s">
        <v>31</v>
      </c>
    </row>
    <row r="38" spans="1:17" x14ac:dyDescent="0.2">
      <c r="E38" t="s">
        <v>15</v>
      </c>
      <c r="F38" s="32">
        <v>630</v>
      </c>
      <c r="G38" t="s">
        <v>48</v>
      </c>
    </row>
    <row r="39" spans="1:17" x14ac:dyDescent="0.2">
      <c r="D39" s="24"/>
      <c r="E39" t="s">
        <v>16</v>
      </c>
      <c r="F39" t="s">
        <v>49</v>
      </c>
      <c r="G39" t="s">
        <v>50</v>
      </c>
      <c r="N39" s="24"/>
    </row>
    <row r="40" spans="1:17" x14ac:dyDescent="0.2">
      <c r="E40" t="s">
        <v>17</v>
      </c>
      <c r="F40" t="s">
        <v>51</v>
      </c>
      <c r="G40" t="s">
        <v>27</v>
      </c>
    </row>
    <row r="41" spans="1:17" x14ac:dyDescent="0.2">
      <c r="E41" t="s">
        <v>18</v>
      </c>
      <c r="F41" t="s">
        <v>52</v>
      </c>
      <c r="G41" t="s">
        <v>53</v>
      </c>
    </row>
    <row r="42" spans="1:17" x14ac:dyDescent="0.2">
      <c r="E42" t="s">
        <v>20</v>
      </c>
      <c r="F42" t="s">
        <v>54</v>
      </c>
      <c r="G42" t="s">
        <v>25</v>
      </c>
    </row>
    <row r="43" spans="1:17" x14ac:dyDescent="0.2">
      <c r="F43" t="s">
        <v>55</v>
      </c>
      <c r="G43" t="s">
        <v>56</v>
      </c>
    </row>
    <row r="44" spans="1:17" x14ac:dyDescent="0.2">
      <c r="E44" t="s">
        <v>21</v>
      </c>
      <c r="F44" t="s">
        <v>54</v>
      </c>
      <c r="G44" t="s">
        <v>57</v>
      </c>
    </row>
    <row r="45" spans="1:17" x14ac:dyDescent="0.2">
      <c r="E45" t="s">
        <v>22</v>
      </c>
      <c r="F45" t="s">
        <v>58</v>
      </c>
      <c r="G45" t="s">
        <v>26</v>
      </c>
    </row>
    <row r="46" spans="1:17" x14ac:dyDescent="0.2">
      <c r="F46" t="s">
        <v>28</v>
      </c>
      <c r="G46" t="s">
        <v>59</v>
      </c>
    </row>
    <row r="50" spans="6:17" x14ac:dyDescent="0.2">
      <c r="F50" s="21" t="s">
        <v>7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3" spans="6:17" x14ac:dyDescent="0.2">
      <c r="J53" s="1"/>
    </row>
    <row r="55" spans="6:17" ht="27.75" customHeight="1" x14ac:dyDescent="0.2"/>
    <row r="56" spans="6:17" x14ac:dyDescent="0.2">
      <c r="H56" s="24"/>
    </row>
  </sheetData>
  <mergeCells count="31">
    <mergeCell ref="A1:Q1"/>
    <mergeCell ref="A2:D2"/>
    <mergeCell ref="E2:G2"/>
    <mergeCell ref="H2:J2"/>
    <mergeCell ref="K2:M2"/>
    <mergeCell ref="A3:D3"/>
    <mergeCell ref="A4:D4"/>
    <mergeCell ref="A14:D14"/>
    <mergeCell ref="A5:D5"/>
    <mergeCell ref="A6:D6"/>
    <mergeCell ref="A7:D7"/>
    <mergeCell ref="A8:D8"/>
    <mergeCell ref="A9:D9"/>
    <mergeCell ref="A10:D10"/>
    <mergeCell ref="A11:D11"/>
    <mergeCell ref="A12:D12"/>
    <mergeCell ref="A18:Q18"/>
    <mergeCell ref="D19:F19"/>
    <mergeCell ref="K19:O19"/>
    <mergeCell ref="Q19:Q21"/>
    <mergeCell ref="L20:L21"/>
    <mergeCell ref="M20:M21"/>
    <mergeCell ref="N20:N21"/>
    <mergeCell ref="O20:O21"/>
    <mergeCell ref="P19:P21"/>
    <mergeCell ref="G19:G21"/>
    <mergeCell ref="H19:H21"/>
    <mergeCell ref="I19:I21"/>
    <mergeCell ref="J19:J21"/>
    <mergeCell ref="K20:K21"/>
    <mergeCell ref="A13:D13"/>
  </mergeCells>
  <pageMargins left="0.16666666666666666" right="6.25E-2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2015-04-03T05:56:59Z</cp:lastPrinted>
  <dcterms:created xsi:type="dcterms:W3CDTF">2007-02-04T12:22:59Z</dcterms:created>
  <dcterms:modified xsi:type="dcterms:W3CDTF">2016-02-03T04:35:21Z</dcterms:modified>
</cp:coreProperties>
</file>