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5" sheetId="1" r:id="rId1"/>
  </sheets>
  <definedNames>
    <definedName name="_xlnm.Print_Area" localSheetId="0">'2015'!$A$52:$Q$53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6940р-опиловка деревьев, уборка территории задней части дома</t>
        </r>
      </text>
    </comment>
    <comment ref="M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15672р-погрузка и вывоз мусора
1525р-кладка кирпичей+материал</t>
        </r>
      </text>
    </comment>
    <comment ref="M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107р-краска</t>
        </r>
      </text>
    </comment>
    <comment ref="J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2835р с июня</t>
        </r>
      </text>
    </comment>
    <comment ref="M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2400р-вырубка поросли
4000р-дезинсекция</t>
        </r>
      </text>
    </comment>
  </commentList>
</comments>
</file>

<file path=xl/sharedStrings.xml><?xml version="1.0" encoding="utf-8"?>
<sst xmlns="http://schemas.openxmlformats.org/spreadsheetml/2006/main" count="76" uniqueCount="55">
  <si>
    <t>сентябрь</t>
  </si>
  <si>
    <t>октябрь</t>
  </si>
  <si>
    <t>ноябрь</t>
  </si>
  <si>
    <t xml:space="preserve">Остаток </t>
  </si>
  <si>
    <t xml:space="preserve">Поступило </t>
  </si>
  <si>
    <t>Площадь</t>
  </si>
  <si>
    <t xml:space="preserve">Кол-во </t>
  </si>
  <si>
    <t>квар.</t>
  </si>
  <si>
    <t>Расходы</t>
  </si>
  <si>
    <t>Содержание</t>
  </si>
  <si>
    <t>декабрь</t>
  </si>
  <si>
    <t>январь</t>
  </si>
  <si>
    <t>февраль</t>
  </si>
  <si>
    <t>март</t>
  </si>
  <si>
    <t>апрель</t>
  </si>
  <si>
    <t>ремонт</t>
  </si>
  <si>
    <t>содер.</t>
  </si>
  <si>
    <t>итого</t>
  </si>
  <si>
    <t>май</t>
  </si>
  <si>
    <t>июнь</t>
  </si>
  <si>
    <t>Ген. директор ООО "Георгиевск - ЖЭУ"                                            Никишина И.М.</t>
  </si>
  <si>
    <t>июль</t>
  </si>
  <si>
    <t>август</t>
  </si>
  <si>
    <t>ростелеком</t>
  </si>
  <si>
    <t>Кап. Ремонт</t>
  </si>
  <si>
    <t>краска</t>
  </si>
  <si>
    <t>Учет доходов и расходов по Дзержинского 21,1 на 2015 год</t>
  </si>
  <si>
    <t>6940р</t>
  </si>
  <si>
    <t>опиловка деревьев,уборка территории задней части дома</t>
  </si>
  <si>
    <t>Доходы и расходы по воде и стокам</t>
  </si>
  <si>
    <t>Вода</t>
  </si>
  <si>
    <t>Стоки ХВС, ГВС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</si>
  <si>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</si>
  <si>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</si>
  <si>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</si>
  <si>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</si>
  <si>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</si>
  <si>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</si>
  <si>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</si>
  <si>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</si>
  <si>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Обслуживание домофонов</t>
  </si>
  <si>
    <t>Текущий ремонт</t>
  </si>
  <si>
    <t>аварийно-диспетчерское обслуживание</t>
  </si>
  <si>
    <t>Проф. обходы и осмотры, разное</t>
  </si>
  <si>
    <t>Общие эксплутационные расходы</t>
  </si>
  <si>
    <t>15672р</t>
  </si>
  <si>
    <t>погрузка и вывоз мусора</t>
  </si>
  <si>
    <t>1525р</t>
  </si>
  <si>
    <t>кладка кирпичей+материал</t>
  </si>
  <si>
    <t>107р</t>
  </si>
  <si>
    <t>2400р</t>
  </si>
  <si>
    <t>вырубка поросли</t>
  </si>
  <si>
    <t>4000р</t>
  </si>
  <si>
    <t>дезинсекция</t>
  </si>
  <si>
    <t>ИТОГО за 2015 год: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</si>
</sst>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-FC19]d\ mmmm\ yyyy\ &quot;г.&quot;"/>
    <numFmt numFmtId="167" formatCode="0.000"/>
    <numFmt numFmtId="168" formatCode="#,##0.000_р_."/>
    <numFmt numFmtId="169" formatCode="#,##0.0_р_."/>
    <numFmt numFmtId="170" formatCode="#,##0_р_."/>
    <numFmt numFmtId="171" formatCode="#,##0.0000_р_."/>
    <numFmt numFmtId="172" formatCode="#,##0.00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4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7" fontId="1" fillId="33" borderId="10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64" fontId="1" fillId="5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2" fontId="1" fillId="0" borderId="13" xfId="0" applyNumberFormat="1" applyFont="1" applyBorder="1" applyAlignment="1">
      <alignment/>
    </xf>
    <xf numFmtId="164" fontId="1" fillId="4" borderId="14" xfId="0" applyNumberFormat="1" applyFont="1" applyFill="1" applyBorder="1" applyAlignment="1">
      <alignment/>
    </xf>
    <xf numFmtId="2" fontId="1" fillId="5" borderId="15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17" fontId="1" fillId="34" borderId="10" xfId="0" applyNumberFormat="1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tabSelected="1" workbookViewId="0" topLeftCell="A17">
      <selection activeCell="F21" sqref="F21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2.00390625" style="0" customWidth="1"/>
    <col min="4" max="4" width="10.125" style="0" customWidth="1"/>
    <col min="5" max="5" width="9.875" style="0" customWidth="1"/>
    <col min="6" max="6" width="10.125" style="0" customWidth="1"/>
    <col min="7" max="7" width="9.75390625" style="0" customWidth="1"/>
    <col min="8" max="8" width="9.875" style="0" customWidth="1"/>
    <col min="9" max="9" width="10.125" style="0" customWidth="1"/>
    <col min="10" max="10" width="10.00390625" style="0" customWidth="1"/>
    <col min="11" max="11" width="9.625" style="0" customWidth="1"/>
    <col min="13" max="13" width="12.125" style="0" customWidth="1"/>
    <col min="15" max="15" width="9.75390625" style="0" customWidth="1"/>
    <col min="16" max="16" width="10.25390625" style="0" customWidth="1"/>
    <col min="17" max="17" width="11.25390625" style="0" customWidth="1"/>
  </cols>
  <sheetData>
    <row r="1" spans="1:17" ht="12.7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3" ht="12.75">
      <c r="A2" s="54"/>
      <c r="B2" s="54"/>
      <c r="C2" s="54"/>
      <c r="D2" s="54"/>
      <c r="E2" s="55" t="s">
        <v>30</v>
      </c>
      <c r="F2" s="55"/>
      <c r="G2" s="55"/>
      <c r="H2" s="56" t="s">
        <v>31</v>
      </c>
      <c r="I2" s="56"/>
      <c r="J2" s="56"/>
      <c r="K2" s="57" t="s">
        <v>32</v>
      </c>
      <c r="L2" s="57"/>
      <c r="M2" s="57"/>
    </row>
    <row r="3" spans="1:13" ht="12.75">
      <c r="A3" s="54"/>
      <c r="B3" s="54"/>
      <c r="C3" s="54"/>
      <c r="D3" s="54"/>
      <c r="E3" s="35" t="s">
        <v>33</v>
      </c>
      <c r="F3" s="35" t="s">
        <v>34</v>
      </c>
      <c r="G3" s="35" t="s">
        <v>35</v>
      </c>
      <c r="H3" s="36" t="s">
        <v>33</v>
      </c>
      <c r="I3" s="36" t="s">
        <v>34</v>
      </c>
      <c r="J3" s="36" t="s">
        <v>35</v>
      </c>
      <c r="K3" s="37" t="s">
        <v>33</v>
      </c>
      <c r="L3" s="37" t="s">
        <v>34</v>
      </c>
      <c r="M3" s="37" t="s">
        <v>35</v>
      </c>
    </row>
    <row r="4" spans="1:15" ht="12.75">
      <c r="A4" s="50" t="s">
        <v>13</v>
      </c>
      <c r="B4" s="50"/>
      <c r="C4" s="50"/>
      <c r="D4" s="50"/>
      <c r="E4" s="38">
        <v>11280.07</v>
      </c>
      <c r="F4" s="38">
        <v>0</v>
      </c>
      <c r="G4" s="38">
        <f>E4-F4</f>
        <v>11280.07</v>
      </c>
      <c r="H4" s="39">
        <f>5929.23+5268.88</f>
        <v>11198.11</v>
      </c>
      <c r="I4" s="39">
        <v>0</v>
      </c>
      <c r="J4" s="39">
        <f>H4-I4</f>
        <v>11198.11</v>
      </c>
      <c r="K4" s="40">
        <v>533.3</v>
      </c>
      <c r="L4" s="40">
        <v>0</v>
      </c>
      <c r="M4" s="40">
        <f>K4-L4</f>
        <v>533.3</v>
      </c>
      <c r="O4" s="41"/>
    </row>
    <row r="5" spans="1:15" ht="12.75">
      <c r="A5" s="51" t="s">
        <v>14</v>
      </c>
      <c r="B5" s="51"/>
      <c r="C5" s="51"/>
      <c r="D5" s="52"/>
      <c r="E5" s="38">
        <v>12624.53</v>
      </c>
      <c r="F5" s="38">
        <f>5161.44+3270.74+220.4</f>
        <v>8652.58</v>
      </c>
      <c r="G5" s="38">
        <f aca="true" t="shared" si="0" ref="G5:G13">E5-F5</f>
        <v>3971.9500000000007</v>
      </c>
      <c r="H5" s="39">
        <f>6635.95+5523.75</f>
        <v>12159.7</v>
      </c>
      <c r="I5" s="39">
        <f>2771.15+1719.23+115.85+1770.2+1781.78+145.97</f>
        <v>8304.18</v>
      </c>
      <c r="J5" s="39">
        <f aca="true" t="shared" si="1" ref="J5:J13">H5-I5</f>
        <v>3855.5200000000004</v>
      </c>
      <c r="K5" s="40">
        <v>1833.87</v>
      </c>
      <c r="L5" s="40">
        <f>235.8+145.44+10.14</f>
        <v>391.38</v>
      </c>
      <c r="M5" s="40">
        <f aca="true" t="shared" si="2" ref="M5:M13">K5-L5</f>
        <v>1442.4899999999998</v>
      </c>
      <c r="O5" s="41"/>
    </row>
    <row r="6" spans="1:15" ht="12.75">
      <c r="A6" s="51" t="s">
        <v>18</v>
      </c>
      <c r="B6" s="51"/>
      <c r="C6" s="51"/>
      <c r="D6" s="52"/>
      <c r="E6" s="38">
        <f>13885.21</f>
        <v>13885.21</v>
      </c>
      <c r="F6" s="38">
        <f>5514.42+4305.41+308.56</f>
        <v>10128.39</v>
      </c>
      <c r="G6" s="38">
        <f t="shared" si="0"/>
        <v>3756.8199999999997</v>
      </c>
      <c r="H6" s="39">
        <f>7298.56+5461.18</f>
        <v>12759.740000000002</v>
      </c>
      <c r="I6" s="39">
        <f>2805.9+2354.85+139.02+2775.78+2268.06+178.41</f>
        <v>10522.02</v>
      </c>
      <c r="J6" s="39">
        <f t="shared" si="1"/>
        <v>2237.720000000001</v>
      </c>
      <c r="K6" s="40">
        <v>61.58</v>
      </c>
      <c r="L6" s="40">
        <f>709.29+555.01+45.41</f>
        <v>1309.71</v>
      </c>
      <c r="M6" s="40">
        <f t="shared" si="2"/>
        <v>-1248.13</v>
      </c>
      <c r="O6" s="41"/>
    </row>
    <row r="7" spans="1:15" ht="12.75">
      <c r="A7" s="51" t="s">
        <v>19</v>
      </c>
      <c r="B7" s="51"/>
      <c r="C7" s="51"/>
      <c r="D7" s="52"/>
      <c r="E7" s="38">
        <v>15088.59</v>
      </c>
      <c r="F7" s="38">
        <f>5561.65+6109.49+837.52</f>
        <v>12508.66</v>
      </c>
      <c r="G7" s="38">
        <f t="shared" si="0"/>
        <v>2579.9300000000003</v>
      </c>
      <c r="H7" s="39">
        <f>7931.1+5217.9</f>
        <v>13149</v>
      </c>
      <c r="I7" s="39">
        <f>2984.31+3211.36+695.1+2282.25+2802.88+69.51</f>
        <v>12045.410000000002</v>
      </c>
      <c r="J7" s="39">
        <f t="shared" si="1"/>
        <v>1103.5899999999983</v>
      </c>
      <c r="K7" s="40">
        <v>0</v>
      </c>
      <c r="L7" s="40">
        <v>369.74</v>
      </c>
      <c r="M7" s="40">
        <f t="shared" si="2"/>
        <v>-369.74</v>
      </c>
      <c r="O7" s="41"/>
    </row>
    <row r="8" spans="1:15" ht="12.75">
      <c r="A8" s="51" t="s">
        <v>21</v>
      </c>
      <c r="B8" s="51"/>
      <c r="C8" s="51"/>
      <c r="D8" s="52"/>
      <c r="E8" s="38">
        <v>18360.6</v>
      </c>
      <c r="F8" s="38">
        <f>6237.32+6449.67+440.8</f>
        <v>13127.789999999999</v>
      </c>
      <c r="G8" s="38">
        <f t="shared" si="0"/>
        <v>5232.8099999999995</v>
      </c>
      <c r="H8" s="39">
        <f>9569.33+3417.26</f>
        <v>12986.59</v>
      </c>
      <c r="I8" s="39">
        <f>3278.56+3820.74+393.89+2050.55+2877.43+69.51</f>
        <v>12490.68</v>
      </c>
      <c r="J8" s="39">
        <f t="shared" si="1"/>
        <v>495.90999999999985</v>
      </c>
      <c r="K8" s="40">
        <v>0</v>
      </c>
      <c r="L8" s="40">
        <f>49.81+24.68</f>
        <v>74.49000000000001</v>
      </c>
      <c r="M8" s="40">
        <f t="shared" si="2"/>
        <v>-74.49000000000001</v>
      </c>
      <c r="O8" s="41"/>
    </row>
    <row r="9" spans="1:15" ht="12.75">
      <c r="A9" s="51" t="s">
        <v>22</v>
      </c>
      <c r="B9" s="51"/>
      <c r="C9" s="51"/>
      <c r="D9" s="52"/>
      <c r="E9" s="38">
        <f>20599.11</f>
        <v>20599.11</v>
      </c>
      <c r="F9" s="38">
        <f>7381.92+7042.98+722.1</f>
        <v>15147</v>
      </c>
      <c r="G9" s="38">
        <f t="shared" si="0"/>
        <v>5452.110000000001</v>
      </c>
      <c r="H9" s="39">
        <f>10736.01+4358.14</f>
        <v>15094.150000000001</v>
      </c>
      <c r="I9" s="39">
        <f>3817.12+3710.32+376.35+1418.61+1553.12+75.27</f>
        <v>10950.79</v>
      </c>
      <c r="J9" s="39">
        <f t="shared" si="1"/>
        <v>4143.360000000001</v>
      </c>
      <c r="K9" s="40">
        <v>0</v>
      </c>
      <c r="L9" s="40">
        <f>27.77+32.62</f>
        <v>60.39</v>
      </c>
      <c r="M9" s="40">
        <f t="shared" si="2"/>
        <v>-60.39</v>
      </c>
      <c r="O9" s="41"/>
    </row>
    <row r="10" spans="1:15" ht="12.75">
      <c r="A10" s="51" t="s">
        <v>0</v>
      </c>
      <c r="B10" s="51"/>
      <c r="C10" s="51"/>
      <c r="D10" s="52"/>
      <c r="E10" s="38">
        <v>19371.54</v>
      </c>
      <c r="F10" s="38">
        <f>8456.84+9166.32+1540.48</f>
        <v>19163.64</v>
      </c>
      <c r="G10" s="38">
        <f t="shared" si="0"/>
        <v>207.90000000000146</v>
      </c>
      <c r="H10" s="39">
        <f>10096.22+4721.94</f>
        <v>14818.16</v>
      </c>
      <c r="I10" s="39">
        <f>4371.54+4778.75+926.54+1833.79+2261.05+175.63</f>
        <v>14347.300000000001</v>
      </c>
      <c r="J10" s="39">
        <f t="shared" si="1"/>
        <v>470.85999999999876</v>
      </c>
      <c r="K10" s="40">
        <v>0</v>
      </c>
      <c r="L10" s="40">
        <v>0</v>
      </c>
      <c r="M10" s="40">
        <f t="shared" si="2"/>
        <v>0</v>
      </c>
      <c r="O10" s="41"/>
    </row>
    <row r="11" spans="1:15" ht="12.75">
      <c r="A11" s="51" t="s">
        <v>1</v>
      </c>
      <c r="B11" s="51"/>
      <c r="C11" s="51"/>
      <c r="D11" s="52"/>
      <c r="E11" s="38">
        <v>15592.55</v>
      </c>
      <c r="F11" s="38">
        <f>8231.94+8147.84+529.54</f>
        <v>16909.32</v>
      </c>
      <c r="G11" s="38">
        <f t="shared" si="0"/>
        <v>-1316.7700000000004</v>
      </c>
      <c r="H11" s="39">
        <v>8126.65</v>
      </c>
      <c r="I11" s="39">
        <f>4290.39+4486.68+650.55</f>
        <v>9427.619999999999</v>
      </c>
      <c r="J11" s="39">
        <f t="shared" si="1"/>
        <v>-1300.9699999999993</v>
      </c>
      <c r="K11" s="40">
        <v>0</v>
      </c>
      <c r="L11" s="40">
        <v>179.23</v>
      </c>
      <c r="M11" s="40">
        <f t="shared" si="2"/>
        <v>-179.23</v>
      </c>
      <c r="O11" s="41"/>
    </row>
    <row r="12" spans="1:15" ht="12.75">
      <c r="A12" s="51" t="s">
        <v>2</v>
      </c>
      <c r="B12" s="51"/>
      <c r="C12" s="51"/>
      <c r="D12" s="52"/>
      <c r="E12" s="38">
        <v>15977.67</v>
      </c>
      <c r="F12" s="38">
        <f>12024.54+6500.94+914.66</f>
        <v>19440.14</v>
      </c>
      <c r="G12" s="38">
        <f t="shared" si="0"/>
        <v>-3462.4699999999993</v>
      </c>
      <c r="H12" s="39">
        <f>8327.37+6152.07</f>
        <v>14479.44</v>
      </c>
      <c r="I12" s="39">
        <f>6218.54+3167.46+351.27+3433.99+2333.37+250.9</f>
        <v>15755.53</v>
      </c>
      <c r="J12" s="39">
        <f t="shared" si="1"/>
        <v>-1276.0900000000001</v>
      </c>
      <c r="K12" s="40">
        <v>0</v>
      </c>
      <c r="L12" s="40">
        <v>55.1</v>
      </c>
      <c r="M12" s="40">
        <f t="shared" si="2"/>
        <v>-55.1</v>
      </c>
      <c r="O12" s="41"/>
    </row>
    <row r="13" spans="1:15" ht="12.75">
      <c r="A13" s="51" t="s">
        <v>10</v>
      </c>
      <c r="B13" s="51"/>
      <c r="C13" s="51"/>
      <c r="D13" s="52"/>
      <c r="E13" s="38">
        <v>13922.09</v>
      </c>
      <c r="F13" s="38">
        <f>8578.55+9434.14+240.7</f>
        <v>18253.39</v>
      </c>
      <c r="G13" s="38">
        <f t="shared" si="0"/>
        <v>-4331.299999999999</v>
      </c>
      <c r="H13" s="39">
        <f>7256.03+5793.28</f>
        <v>13049.31</v>
      </c>
      <c r="I13" s="39">
        <f>4471.04+4491.11+700.73+3156.32+3118.4</f>
        <v>15937.599999999999</v>
      </c>
      <c r="J13" s="39">
        <f t="shared" si="1"/>
        <v>-2888.289999999999</v>
      </c>
      <c r="K13" s="40">
        <v>0</v>
      </c>
      <c r="L13" s="40">
        <v>28.21</v>
      </c>
      <c r="M13" s="40">
        <f t="shared" si="2"/>
        <v>-28.21</v>
      </c>
      <c r="O13" s="41"/>
    </row>
    <row r="14" spans="1:13" ht="12.75">
      <c r="A14" s="51" t="s">
        <v>36</v>
      </c>
      <c r="B14" s="51"/>
      <c r="C14" s="51"/>
      <c r="D14" s="52"/>
      <c r="E14" s="42">
        <f aca="true" t="shared" si="3" ref="E14:M14">SUM(E4:E13)</f>
        <v>156701.96</v>
      </c>
      <c r="F14" s="42">
        <f t="shared" si="3"/>
        <v>133330.91</v>
      </c>
      <c r="G14" s="42">
        <f t="shared" si="3"/>
        <v>23371.050000000007</v>
      </c>
      <c r="H14" s="42">
        <f t="shared" si="3"/>
        <v>127820.85</v>
      </c>
      <c r="I14" s="42">
        <f t="shared" si="3"/>
        <v>109781.13</v>
      </c>
      <c r="J14" s="42">
        <f t="shared" si="3"/>
        <v>18039.72</v>
      </c>
      <c r="K14" s="42">
        <f t="shared" si="3"/>
        <v>2428.75</v>
      </c>
      <c r="L14" s="42">
        <f t="shared" si="3"/>
        <v>2468.2499999999995</v>
      </c>
      <c r="M14" s="42">
        <f t="shared" si="3"/>
        <v>-39.50000000000037</v>
      </c>
    </row>
    <row r="18" spans="2:17" ht="12.75">
      <c r="B18" s="2"/>
      <c r="C18" s="1"/>
      <c r="D18" s="47" t="s">
        <v>26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</row>
    <row r="19" spans="1:17" ht="40.5" customHeight="1">
      <c r="A19" s="6"/>
      <c r="B19" s="7" t="s">
        <v>5</v>
      </c>
      <c r="C19" s="8" t="s">
        <v>6</v>
      </c>
      <c r="D19" s="46" t="s">
        <v>4</v>
      </c>
      <c r="E19" s="46"/>
      <c r="F19" s="46"/>
      <c r="G19" s="66" t="s">
        <v>37</v>
      </c>
      <c r="H19" s="64" t="s">
        <v>38</v>
      </c>
      <c r="I19" s="64" t="s">
        <v>39</v>
      </c>
      <c r="J19" s="70" t="s">
        <v>40</v>
      </c>
      <c r="K19" s="64" t="s">
        <v>41</v>
      </c>
      <c r="L19" s="43" t="s">
        <v>9</v>
      </c>
      <c r="M19" s="44"/>
      <c r="N19" s="45"/>
      <c r="O19" s="61" t="s">
        <v>8</v>
      </c>
      <c r="P19" s="58" t="s">
        <v>3</v>
      </c>
      <c r="Q19" s="5" t="s">
        <v>24</v>
      </c>
    </row>
    <row r="20" spans="1:17" ht="42.75" customHeight="1" thickBot="1">
      <c r="A20" s="6"/>
      <c r="B20" s="9"/>
      <c r="C20" s="10" t="s">
        <v>7</v>
      </c>
      <c r="D20" s="11" t="s">
        <v>16</v>
      </c>
      <c r="E20" s="11" t="s">
        <v>15</v>
      </c>
      <c r="F20" s="11" t="s">
        <v>17</v>
      </c>
      <c r="G20" s="67"/>
      <c r="H20" s="69"/>
      <c r="I20" s="69"/>
      <c r="J20" s="71"/>
      <c r="K20" s="69"/>
      <c r="L20" s="64" t="s">
        <v>42</v>
      </c>
      <c r="M20" s="64" t="s">
        <v>43</v>
      </c>
      <c r="N20" s="64" t="s">
        <v>44</v>
      </c>
      <c r="O20" s="62"/>
      <c r="P20" s="59"/>
      <c r="Q20" s="5"/>
    </row>
    <row r="21" spans="1:17" ht="13.5" thickBot="1">
      <c r="A21" s="6"/>
      <c r="B21" s="9">
        <v>4394.2</v>
      </c>
      <c r="C21" s="10">
        <v>197</v>
      </c>
      <c r="D21" s="11"/>
      <c r="E21" s="20"/>
      <c r="F21" s="22">
        <v>-107052.49</v>
      </c>
      <c r="G21" s="68"/>
      <c r="H21" s="65"/>
      <c r="I21" s="65"/>
      <c r="J21" s="72"/>
      <c r="K21" s="65"/>
      <c r="L21" s="65"/>
      <c r="M21" s="65"/>
      <c r="N21" s="65"/>
      <c r="O21" s="63"/>
      <c r="P21" s="60"/>
      <c r="Q21" s="18">
        <v>0</v>
      </c>
    </row>
    <row r="22" spans="1:17" ht="12.75">
      <c r="A22" s="13"/>
      <c r="B22" s="13" t="s">
        <v>11</v>
      </c>
      <c r="C22" s="14"/>
      <c r="D22" s="3">
        <f>11146.3+8709.97</f>
        <v>19856.269999999997</v>
      </c>
      <c r="E22" s="3">
        <f>5954.2+4413.3</f>
        <v>10367.5</v>
      </c>
      <c r="F22" s="21">
        <f aca="true" t="shared" si="4" ref="F22:F33">D22+E22</f>
        <v>30223.769999999997</v>
      </c>
      <c r="G22" s="4">
        <f aca="true" t="shared" si="5" ref="G22:G33">F22*0.09</f>
        <v>2720.1393</v>
      </c>
      <c r="H22" s="4">
        <v>0</v>
      </c>
      <c r="I22" s="4">
        <v>5329</v>
      </c>
      <c r="J22" s="4">
        <v>2430</v>
      </c>
      <c r="K22" s="4">
        <v>0</v>
      </c>
      <c r="L22" s="4">
        <f>B21*1.4</f>
        <v>6151.879999999999</v>
      </c>
      <c r="M22" s="4">
        <v>3729.6</v>
      </c>
      <c r="N22" s="4">
        <f aca="true" t="shared" si="6" ref="N22:N33">F22*0.15</f>
        <v>4533.5655</v>
      </c>
      <c r="O22" s="4">
        <f aca="true" t="shared" si="7" ref="O22:O33">G22+H22+I22+J22+K22+L22+M22+N22</f>
        <v>24894.1848</v>
      </c>
      <c r="P22" s="12">
        <f aca="true" t="shared" si="8" ref="P22:P35">F22-O22</f>
        <v>5329.585199999998</v>
      </c>
      <c r="Q22" s="15">
        <v>0</v>
      </c>
    </row>
    <row r="23" spans="1:17" ht="12.75">
      <c r="A23" s="13"/>
      <c r="B23" s="13" t="s">
        <v>12</v>
      </c>
      <c r="C23" s="14"/>
      <c r="D23" s="3">
        <f>13772.4+10552.68+1026</f>
        <v>25351.08</v>
      </c>
      <c r="E23" s="3">
        <f>7239+5061.5+554.4</f>
        <v>12854.9</v>
      </c>
      <c r="F23" s="21">
        <f t="shared" si="4"/>
        <v>38205.98</v>
      </c>
      <c r="G23" s="4">
        <f t="shared" si="5"/>
        <v>3438.5382</v>
      </c>
      <c r="H23" s="4">
        <v>0</v>
      </c>
      <c r="I23" s="4">
        <v>5329</v>
      </c>
      <c r="J23" s="4">
        <v>2430</v>
      </c>
      <c r="K23" s="4">
        <v>0</v>
      </c>
      <c r="L23" s="4">
        <v>6151.88</v>
      </c>
      <c r="M23" s="4">
        <v>3729.6</v>
      </c>
      <c r="N23" s="4">
        <f t="shared" si="6"/>
        <v>5730.897</v>
      </c>
      <c r="O23" s="4">
        <f t="shared" si="7"/>
        <v>26809.9152</v>
      </c>
      <c r="P23" s="12">
        <f t="shared" si="8"/>
        <v>11396.064800000004</v>
      </c>
      <c r="Q23" s="15">
        <v>0</v>
      </c>
    </row>
    <row r="24" spans="1:17" ht="12.75">
      <c r="A24" s="13"/>
      <c r="B24" s="13" t="s">
        <v>13</v>
      </c>
      <c r="C24" s="14"/>
      <c r="D24" s="3">
        <f>13482.11+15852.8+974.4</f>
        <v>30309.31</v>
      </c>
      <c r="E24" s="3">
        <f>6538.53+7934.9+182.7</f>
        <v>14656.130000000001</v>
      </c>
      <c r="F24" s="21">
        <f t="shared" si="4"/>
        <v>44965.44</v>
      </c>
      <c r="G24" s="4">
        <f t="shared" si="5"/>
        <v>4046.8896</v>
      </c>
      <c r="H24" s="4">
        <v>4394.2</v>
      </c>
      <c r="I24" s="4">
        <v>5329</v>
      </c>
      <c r="J24" s="4">
        <v>2430</v>
      </c>
      <c r="K24" s="4">
        <v>33836</v>
      </c>
      <c r="L24" s="4">
        <v>6151.88</v>
      </c>
      <c r="M24" s="4">
        <f>3729.6+6940</f>
        <v>10669.6</v>
      </c>
      <c r="N24" s="4">
        <f t="shared" si="6"/>
        <v>6744.816</v>
      </c>
      <c r="O24" s="4">
        <f t="shared" si="7"/>
        <v>73602.38560000001</v>
      </c>
      <c r="P24" s="12">
        <f t="shared" si="8"/>
        <v>-28636.945600000006</v>
      </c>
      <c r="Q24" s="15">
        <v>98.2</v>
      </c>
    </row>
    <row r="25" spans="1:17" ht="12.75">
      <c r="A25" s="13"/>
      <c r="B25" s="13" t="s">
        <v>14</v>
      </c>
      <c r="C25" s="14"/>
      <c r="D25" s="3">
        <f>14913.78+12500+231.7</f>
        <v>27645.48</v>
      </c>
      <c r="E25" s="3">
        <f>6578.27+5626+549.3</f>
        <v>12753.57</v>
      </c>
      <c r="F25" s="21">
        <f t="shared" si="4"/>
        <v>40399.05</v>
      </c>
      <c r="G25" s="4">
        <f t="shared" si="5"/>
        <v>3635.9145000000003</v>
      </c>
      <c r="H25" s="4">
        <v>4394.2</v>
      </c>
      <c r="I25" s="4">
        <v>5329</v>
      </c>
      <c r="J25" s="4">
        <v>2430</v>
      </c>
      <c r="K25" s="4">
        <v>0</v>
      </c>
      <c r="L25" s="4">
        <v>6151.88</v>
      </c>
      <c r="M25" s="4">
        <f>3729.6</f>
        <v>3729.6</v>
      </c>
      <c r="N25" s="4">
        <f t="shared" si="6"/>
        <v>6059.8575</v>
      </c>
      <c r="O25" s="4">
        <f t="shared" si="7"/>
        <v>31730.451999999997</v>
      </c>
      <c r="P25" s="12">
        <f t="shared" si="8"/>
        <v>8668.598000000005</v>
      </c>
      <c r="Q25" s="15">
        <v>0</v>
      </c>
    </row>
    <row r="26" spans="1:17" ht="12.75">
      <c r="A26" s="13"/>
      <c r="B26" s="13" t="s">
        <v>18</v>
      </c>
      <c r="C26" s="14"/>
      <c r="D26" s="3">
        <f>16034.5+10481.6+948.52</f>
        <v>27464.62</v>
      </c>
      <c r="E26" s="3">
        <f>6502.7+4696.8+582.32</f>
        <v>11781.82</v>
      </c>
      <c r="F26" s="21">
        <f t="shared" si="4"/>
        <v>39246.44</v>
      </c>
      <c r="G26" s="4">
        <f t="shared" si="5"/>
        <v>3532.1796</v>
      </c>
      <c r="H26" s="4">
        <v>4394.2</v>
      </c>
      <c r="I26" s="4">
        <v>5329</v>
      </c>
      <c r="J26" s="4">
        <v>2430</v>
      </c>
      <c r="K26" s="4">
        <v>0</v>
      </c>
      <c r="L26" s="4">
        <v>6151.88</v>
      </c>
      <c r="M26" s="4">
        <f>3729.6+15672+1525</f>
        <v>20926.6</v>
      </c>
      <c r="N26" s="4">
        <f t="shared" si="6"/>
        <v>5886.966</v>
      </c>
      <c r="O26" s="4">
        <f t="shared" si="7"/>
        <v>48650.8256</v>
      </c>
      <c r="P26" s="12">
        <f t="shared" si="8"/>
        <v>-9404.385599999994</v>
      </c>
      <c r="Q26" s="15">
        <v>0</v>
      </c>
    </row>
    <row r="27" spans="1:17" ht="12.75">
      <c r="A27" s="13"/>
      <c r="B27" s="13" t="s">
        <v>19</v>
      </c>
      <c r="C27" s="14"/>
      <c r="D27" s="3">
        <f>12277.99+14100.48+913.5</f>
        <v>27291.97</v>
      </c>
      <c r="E27" s="3">
        <f>5308.4+6614.8+515.76</f>
        <v>12438.960000000001</v>
      </c>
      <c r="F27" s="21">
        <f t="shared" si="4"/>
        <v>39730.93</v>
      </c>
      <c r="G27" s="4">
        <f t="shared" si="5"/>
        <v>3575.7837</v>
      </c>
      <c r="H27" s="4">
        <v>4394.2</v>
      </c>
      <c r="I27" s="4">
        <v>5329</v>
      </c>
      <c r="J27" s="4">
        <v>2835</v>
      </c>
      <c r="K27" s="4">
        <v>0</v>
      </c>
      <c r="L27" s="4">
        <v>6151.88</v>
      </c>
      <c r="M27" s="4">
        <f>3729.6+107</f>
        <v>3836.6</v>
      </c>
      <c r="N27" s="4">
        <f t="shared" si="6"/>
        <v>5959.6395</v>
      </c>
      <c r="O27" s="4">
        <f t="shared" si="7"/>
        <v>32082.1032</v>
      </c>
      <c r="P27" s="12">
        <f t="shared" si="8"/>
        <v>7648.826799999999</v>
      </c>
      <c r="Q27" s="15">
        <v>0</v>
      </c>
    </row>
    <row r="28" spans="1:17" ht="12.75">
      <c r="A28" s="13"/>
      <c r="B28" s="13" t="s">
        <v>21</v>
      </c>
      <c r="C28" s="14"/>
      <c r="D28" s="3">
        <f>14430.8+12176.93</f>
        <v>26607.73</v>
      </c>
      <c r="E28" s="3">
        <f>6072.8+5790.1+332.32</f>
        <v>12195.220000000001</v>
      </c>
      <c r="F28" s="21">
        <f t="shared" si="4"/>
        <v>38802.95</v>
      </c>
      <c r="G28" s="4">
        <f t="shared" si="5"/>
        <v>3492.2654999999995</v>
      </c>
      <c r="H28" s="4">
        <v>4394.2</v>
      </c>
      <c r="I28" s="4">
        <v>5329</v>
      </c>
      <c r="J28" s="4">
        <v>2835</v>
      </c>
      <c r="K28" s="4">
        <v>22711</v>
      </c>
      <c r="L28" s="4">
        <v>6151.88</v>
      </c>
      <c r="M28" s="4">
        <v>3729.6</v>
      </c>
      <c r="N28" s="4">
        <f t="shared" si="6"/>
        <v>5820.442499999999</v>
      </c>
      <c r="O28" s="4">
        <f t="shared" si="7"/>
        <v>54463.38799999999</v>
      </c>
      <c r="P28" s="12">
        <f t="shared" si="8"/>
        <v>-15660.437999999995</v>
      </c>
      <c r="Q28" s="15">
        <v>0</v>
      </c>
    </row>
    <row r="29" spans="1:17" ht="12.75">
      <c r="A29" s="13"/>
      <c r="B29" s="13" t="s">
        <v>22</v>
      </c>
      <c r="C29" s="14"/>
      <c r="D29" s="3">
        <f>13591.9+12790.92+3297.8</f>
        <v>29680.62</v>
      </c>
      <c r="E29" s="3">
        <f>6103.2+6166.4+1606.2</f>
        <v>13875.8</v>
      </c>
      <c r="F29" s="21">
        <f t="shared" si="4"/>
        <v>43556.42</v>
      </c>
      <c r="G29" s="4">
        <f t="shared" si="5"/>
        <v>3920.0777999999996</v>
      </c>
      <c r="H29" s="4">
        <v>4394.2</v>
      </c>
      <c r="I29" s="4">
        <v>5329</v>
      </c>
      <c r="J29" s="4">
        <v>2835</v>
      </c>
      <c r="K29" s="4">
        <v>6767</v>
      </c>
      <c r="L29" s="4">
        <v>6151.88</v>
      </c>
      <c r="M29" s="4">
        <v>3729.6</v>
      </c>
      <c r="N29" s="4">
        <f t="shared" si="6"/>
        <v>6533.463</v>
      </c>
      <c r="O29" s="4">
        <f t="shared" si="7"/>
        <v>39660.220799999996</v>
      </c>
      <c r="P29" s="12">
        <f t="shared" si="8"/>
        <v>3896.1992000000027</v>
      </c>
      <c r="Q29" s="15">
        <v>2905.8</v>
      </c>
    </row>
    <row r="30" spans="1:17" ht="12.75">
      <c r="A30" s="13"/>
      <c r="B30" s="13" t="s">
        <v>0</v>
      </c>
      <c r="C30" s="14"/>
      <c r="D30" s="3">
        <f>13737.4+15389.85+1153.7</f>
        <v>30280.95</v>
      </c>
      <c r="E30" s="3">
        <f>5794.6+7187.4+1131</f>
        <v>14113</v>
      </c>
      <c r="F30" s="21">
        <f t="shared" si="4"/>
        <v>44393.95</v>
      </c>
      <c r="G30" s="4">
        <f t="shared" si="5"/>
        <v>3995.4554999999996</v>
      </c>
      <c r="H30" s="4">
        <v>4394.2</v>
      </c>
      <c r="I30" s="4">
        <v>5329</v>
      </c>
      <c r="J30" s="4">
        <v>2835</v>
      </c>
      <c r="K30" s="4">
        <f>4358+4517+8398</f>
        <v>17273</v>
      </c>
      <c r="L30" s="4">
        <v>6151.88</v>
      </c>
      <c r="M30" s="4">
        <f>4329+2400+4000</f>
        <v>10729</v>
      </c>
      <c r="N30" s="4">
        <f t="shared" si="6"/>
        <v>6659.0925</v>
      </c>
      <c r="O30" s="4">
        <f t="shared" si="7"/>
        <v>57366.628</v>
      </c>
      <c r="P30" s="12">
        <f t="shared" si="8"/>
        <v>-12972.678</v>
      </c>
      <c r="Q30" s="15">
        <v>1875.3</v>
      </c>
    </row>
    <row r="31" spans="1:17" ht="12.75">
      <c r="A31" s="13"/>
      <c r="B31" s="13" t="s">
        <v>1</v>
      </c>
      <c r="C31" s="14"/>
      <c r="D31" s="3">
        <f>10745.7+15992.66+1128.4</f>
        <v>27866.760000000002</v>
      </c>
      <c r="E31" s="3">
        <f>5672.2+11271.1+300.9</f>
        <v>17244.2</v>
      </c>
      <c r="F31" s="21">
        <f t="shared" si="4"/>
        <v>45110.96000000001</v>
      </c>
      <c r="G31" s="4">
        <f t="shared" si="5"/>
        <v>4059.9864000000002</v>
      </c>
      <c r="H31" s="4">
        <v>4394.2</v>
      </c>
      <c r="I31" s="4">
        <v>5329</v>
      </c>
      <c r="J31" s="4">
        <v>2835</v>
      </c>
      <c r="K31" s="4">
        <v>2138</v>
      </c>
      <c r="L31" s="4">
        <v>6151.88</v>
      </c>
      <c r="M31" s="4">
        <v>4329</v>
      </c>
      <c r="N31" s="4">
        <f t="shared" si="6"/>
        <v>6766.644000000001</v>
      </c>
      <c r="O31" s="4">
        <f t="shared" si="7"/>
        <v>36003.7104</v>
      </c>
      <c r="P31" s="12">
        <f t="shared" si="8"/>
        <v>9107.249600000003</v>
      </c>
      <c r="Q31" s="15">
        <v>0</v>
      </c>
    </row>
    <row r="32" spans="1:17" ht="12.75">
      <c r="A32" s="13"/>
      <c r="B32" s="13" t="s">
        <v>2</v>
      </c>
      <c r="C32" s="14"/>
      <c r="D32" s="3">
        <f>16186.41+17673.43+1110.1</f>
        <v>34969.939999999995</v>
      </c>
      <c r="E32" s="3">
        <f>5895+5663.4+649.5</f>
        <v>12207.9</v>
      </c>
      <c r="F32" s="21">
        <f t="shared" si="4"/>
        <v>47177.84</v>
      </c>
      <c r="G32" s="4">
        <f t="shared" si="5"/>
        <v>4246.0055999999995</v>
      </c>
      <c r="H32" s="4">
        <v>4394.2</v>
      </c>
      <c r="I32" s="4">
        <v>5329</v>
      </c>
      <c r="J32" s="4">
        <v>2835</v>
      </c>
      <c r="K32" s="4">
        <f>2984+2426</f>
        <v>5410</v>
      </c>
      <c r="L32" s="4">
        <v>6151.88</v>
      </c>
      <c r="M32" s="4">
        <v>4329</v>
      </c>
      <c r="N32" s="4">
        <f t="shared" si="6"/>
        <v>7076.6759999999995</v>
      </c>
      <c r="O32" s="4">
        <f t="shared" si="7"/>
        <v>39771.7616</v>
      </c>
      <c r="P32" s="12">
        <f t="shared" si="8"/>
        <v>7406.0783999999985</v>
      </c>
      <c r="Q32" s="15">
        <v>0</v>
      </c>
    </row>
    <row r="33" spans="1:17" ht="12.75">
      <c r="A33" s="13"/>
      <c r="B33" s="13" t="s">
        <v>10</v>
      </c>
      <c r="C33" s="14"/>
      <c r="D33" s="3">
        <f>15802.68+14414.67+426.3</f>
        <v>30643.649999999998</v>
      </c>
      <c r="E33" s="3">
        <f>11067.54+5832+182.7</f>
        <v>17082.24</v>
      </c>
      <c r="F33" s="21">
        <f t="shared" si="4"/>
        <v>47725.89</v>
      </c>
      <c r="G33" s="4">
        <f t="shared" si="5"/>
        <v>4295.3301</v>
      </c>
      <c r="H33" s="4">
        <v>4394.2</v>
      </c>
      <c r="I33" s="4">
        <v>5329</v>
      </c>
      <c r="J33" s="4">
        <v>2835</v>
      </c>
      <c r="K33" s="4">
        <f>2077+6078</f>
        <v>8155</v>
      </c>
      <c r="L33" s="4">
        <v>6151.88</v>
      </c>
      <c r="M33" s="4">
        <v>4329</v>
      </c>
      <c r="N33" s="4">
        <f t="shared" si="6"/>
        <v>7158.8835</v>
      </c>
      <c r="O33" s="4">
        <f t="shared" si="7"/>
        <v>42648.293600000005</v>
      </c>
      <c r="P33" s="12">
        <f t="shared" si="8"/>
        <v>5077.596399999995</v>
      </c>
      <c r="Q33" s="15">
        <v>0</v>
      </c>
    </row>
    <row r="34" spans="1:17" ht="12.75">
      <c r="A34" s="25" t="s">
        <v>23</v>
      </c>
      <c r="B34" s="25"/>
      <c r="C34" s="26"/>
      <c r="D34" s="3">
        <f>2700+2700+2700+2700</f>
        <v>10800</v>
      </c>
      <c r="E34" s="3">
        <v>0</v>
      </c>
      <c r="F34" s="21">
        <f>SUM(D34:E34)</f>
        <v>10800</v>
      </c>
      <c r="G34" s="4">
        <f>F34*0.06</f>
        <v>648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f>SUM(F34*0.15)</f>
        <v>1620</v>
      </c>
      <c r="O34" s="4">
        <f>SUM(G34:N34)</f>
        <v>2268</v>
      </c>
      <c r="P34" s="12">
        <f t="shared" si="8"/>
        <v>8532</v>
      </c>
      <c r="Q34" s="15">
        <v>0</v>
      </c>
    </row>
    <row r="35" spans="1:17" ht="12.75">
      <c r="A35" s="23" t="s">
        <v>17</v>
      </c>
      <c r="B35" s="23"/>
      <c r="C35" s="23"/>
      <c r="D35" s="17">
        <f>SUM(D22:D34)</f>
        <v>348768.38</v>
      </c>
      <c r="E35" s="17">
        <f>SUM(E22:E34)</f>
        <v>161571.24</v>
      </c>
      <c r="F35" s="24">
        <f>SUM(F21:F34)</f>
        <v>403287.13</v>
      </c>
      <c r="G35" s="17">
        <f aca="true" t="shared" si="9" ref="G35:O35">SUM(G22:G34)</f>
        <v>45606.5658</v>
      </c>
      <c r="H35" s="17">
        <f t="shared" si="9"/>
        <v>43941.99999999999</v>
      </c>
      <c r="I35" s="17">
        <f t="shared" si="9"/>
        <v>63948</v>
      </c>
      <c r="J35" s="17">
        <f t="shared" si="9"/>
        <v>31995</v>
      </c>
      <c r="K35" s="17">
        <f t="shared" si="9"/>
        <v>96290</v>
      </c>
      <c r="L35" s="17">
        <f t="shared" si="9"/>
        <v>73822.56</v>
      </c>
      <c r="M35" s="17">
        <f t="shared" si="9"/>
        <v>77796.79999999999</v>
      </c>
      <c r="N35" s="17">
        <f t="shared" si="9"/>
        <v>76550.943</v>
      </c>
      <c r="O35" s="17">
        <f t="shared" si="9"/>
        <v>509951.86879999994</v>
      </c>
      <c r="P35" s="16">
        <f t="shared" si="8"/>
        <v>-106664.73879999993</v>
      </c>
      <c r="Q35" s="12">
        <f>SUM(Q21:Q34)</f>
        <v>4879.3</v>
      </c>
    </row>
    <row r="36" ht="12.75">
      <c r="Q36" s="28">
        <f>Q35*0.91</f>
        <v>4440.1630000000005</v>
      </c>
    </row>
    <row r="37" spans="4:17" ht="12.75">
      <c r="D37" t="s">
        <v>13</v>
      </c>
      <c r="Q37" s="34"/>
    </row>
    <row r="38" spans="4:17" ht="12.75">
      <c r="D38" t="s">
        <v>27</v>
      </c>
      <c r="E38" t="s">
        <v>28</v>
      </c>
      <c r="Q38" s="34"/>
    </row>
    <row r="39" spans="4:17" ht="12.75">
      <c r="D39" t="s">
        <v>18</v>
      </c>
      <c r="E39" s="30"/>
      <c r="Q39" s="33"/>
    </row>
    <row r="40" spans="4:17" ht="12.75">
      <c r="D40" t="s">
        <v>45</v>
      </c>
      <c r="E40" s="32" t="s">
        <v>46</v>
      </c>
      <c r="F40" s="32"/>
      <c r="Q40" s="29"/>
    </row>
    <row r="41" spans="4:17" ht="12.75">
      <c r="D41" t="s">
        <v>47</v>
      </c>
      <c r="E41" t="s">
        <v>48</v>
      </c>
      <c r="Q41" s="29"/>
    </row>
    <row r="42" spans="4:17" ht="12.75">
      <c r="D42" t="s">
        <v>19</v>
      </c>
      <c r="Q42" s="29"/>
    </row>
    <row r="43" spans="4:17" ht="12.75">
      <c r="D43" t="s">
        <v>49</v>
      </c>
      <c r="E43" t="s">
        <v>25</v>
      </c>
      <c r="Q43" s="29"/>
    </row>
    <row r="44" spans="4:17" ht="12.75">
      <c r="D44" t="s">
        <v>0</v>
      </c>
      <c r="Q44" s="29"/>
    </row>
    <row r="45" spans="4:17" ht="12.75">
      <c r="D45" t="s">
        <v>50</v>
      </c>
      <c r="E45" t="s">
        <v>51</v>
      </c>
      <c r="Q45" s="29"/>
    </row>
    <row r="46" spans="4:17" ht="12.75">
      <c r="D46" t="s">
        <v>52</v>
      </c>
      <c r="E46" t="s">
        <v>53</v>
      </c>
      <c r="Q46" s="29"/>
    </row>
    <row r="47" ht="12.75">
      <c r="Q47" s="29"/>
    </row>
    <row r="48" ht="12.75">
      <c r="Q48" s="29"/>
    </row>
    <row r="49" spans="7:14" ht="12.75">
      <c r="G49" s="19" t="s">
        <v>20</v>
      </c>
      <c r="H49" s="19"/>
      <c r="I49" s="19"/>
      <c r="J49" s="19"/>
      <c r="K49" s="19"/>
      <c r="L49" s="19"/>
      <c r="M49" s="19"/>
      <c r="N49" s="19"/>
    </row>
    <row r="50" ht="12.75">
      <c r="P50" s="31"/>
    </row>
    <row r="53" spans="11:13" ht="12.75">
      <c r="K53" s="27" t="s">
        <v>54</v>
      </c>
      <c r="M53" s="73">
        <f>P35+Q36</f>
        <v>-102224.57579999993</v>
      </c>
    </row>
  </sheetData>
  <sheetProtection/>
  <mergeCells count="30">
    <mergeCell ref="H19:H21"/>
    <mergeCell ref="I19:I21"/>
    <mergeCell ref="N20:N21"/>
    <mergeCell ref="D18:Q18"/>
    <mergeCell ref="K19:K21"/>
    <mergeCell ref="L20:L21"/>
    <mergeCell ref="D19:F19"/>
    <mergeCell ref="J19:J21"/>
    <mergeCell ref="A9:D9"/>
    <mergeCell ref="P19:P21"/>
    <mergeCell ref="O19:O21"/>
    <mergeCell ref="A10:D10"/>
    <mergeCell ref="M20:M21"/>
    <mergeCell ref="A8:D8"/>
    <mergeCell ref="A1:Q1"/>
    <mergeCell ref="A2:D2"/>
    <mergeCell ref="E2:G2"/>
    <mergeCell ref="H2:J2"/>
    <mergeCell ref="K2:M2"/>
    <mergeCell ref="A3:D3"/>
    <mergeCell ref="A5:D5"/>
    <mergeCell ref="A7:D7"/>
    <mergeCell ref="A13:D13"/>
    <mergeCell ref="A11:D11"/>
    <mergeCell ref="A14:D14"/>
    <mergeCell ref="A12:D12"/>
    <mergeCell ref="G19:G21"/>
    <mergeCell ref="L19:N19"/>
    <mergeCell ref="A4:D4"/>
    <mergeCell ref="A6:D6"/>
  </mergeCells>
  <printOptions/>
  <pageMargins left="0.3541666666666667" right="0.20833333333333334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2015-09-25T05:53:03Z</cp:lastPrinted>
  <dcterms:created xsi:type="dcterms:W3CDTF">2007-02-04T12:22:59Z</dcterms:created>
  <dcterms:modified xsi:type="dcterms:W3CDTF">2016-02-03T04:37:26Z</dcterms:modified>
  <cp:category/>
  <cp:version/>
  <cp:contentType/>
  <cp:contentStatus/>
</cp:coreProperties>
</file>