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2015" sheetId="2" r:id="rId1"/>
  </sheets>
  <definedNames>
    <definedName name="_xlnm.Print_Area" localSheetId="0">'2015'!$A$1:$Q$56</definedName>
  </definedNames>
  <calcPr calcId="145621" refMode="R1C1"/>
</workbook>
</file>

<file path=xl/calcChain.xml><?xml version="1.0" encoding="utf-8"?>
<calcChain xmlns="http://schemas.openxmlformats.org/spreadsheetml/2006/main">
  <c r="D37" i="2" l="1"/>
  <c r="J36" i="2" l="1"/>
  <c r="I36" i="2" l="1"/>
  <c r="I15" i="2" l="1"/>
  <c r="H15" i="2"/>
  <c r="K16" i="2"/>
  <c r="E16" i="2"/>
  <c r="L15" i="2"/>
  <c r="M15" i="2" s="1"/>
  <c r="F15" i="2"/>
  <c r="G15" i="2" s="1"/>
  <c r="J15" i="2" l="1"/>
  <c r="D36" i="2"/>
  <c r="E36" i="2"/>
  <c r="M39" i="2"/>
  <c r="I39" i="2"/>
  <c r="H39" i="2"/>
  <c r="D38" i="2"/>
  <c r="F36" i="2" l="1"/>
  <c r="G36" i="2" s="1"/>
  <c r="M6" i="2"/>
  <c r="G6" i="2"/>
  <c r="N36" i="2" l="1"/>
  <c r="O36" i="2" s="1"/>
  <c r="P36" i="2" s="1"/>
  <c r="L35" i="2"/>
  <c r="D35" i="2" l="1"/>
  <c r="E35" i="2"/>
  <c r="F35" i="2" l="1"/>
  <c r="G35" i="2" s="1"/>
  <c r="F14" i="2"/>
  <c r="G14" i="2" s="1"/>
  <c r="H14" i="2"/>
  <c r="I14" i="2"/>
  <c r="L14" i="2"/>
  <c r="M14" i="2" s="1"/>
  <c r="J14" i="2" l="1"/>
  <c r="N35" i="2"/>
  <c r="O35" i="2" s="1"/>
  <c r="P35" i="2" s="1"/>
  <c r="J34" i="2"/>
  <c r="F13" i="2" l="1"/>
  <c r="G13" i="2" s="1"/>
  <c r="H13" i="2"/>
  <c r="I13" i="2"/>
  <c r="L13" i="2"/>
  <c r="M13" i="2" s="1"/>
  <c r="J13" i="2" l="1"/>
  <c r="D34" i="2"/>
  <c r="E34" i="2"/>
  <c r="F34" i="2" l="1"/>
  <c r="G34" i="2" s="1"/>
  <c r="L33" i="2"/>
  <c r="N34" i="2" l="1"/>
  <c r="O34" i="2" s="1"/>
  <c r="P34" i="2" s="1"/>
  <c r="J33" i="2" l="1"/>
  <c r="J32" i="2" l="1"/>
  <c r="L32" i="2" l="1"/>
  <c r="L12" i="2" l="1"/>
  <c r="M12" i="2" s="1"/>
  <c r="I12" i="2"/>
  <c r="H12" i="2"/>
  <c r="F12" i="2"/>
  <c r="G12" i="2" s="1"/>
  <c r="J12" i="2" l="1"/>
  <c r="D33" i="2"/>
  <c r="E33" i="2"/>
  <c r="F33" i="2" l="1"/>
  <c r="G33" i="2" s="1"/>
  <c r="N33" i="2" l="1"/>
  <c r="O33" i="2" s="1"/>
  <c r="P33" i="2" s="1"/>
  <c r="L11" i="2" l="1"/>
  <c r="M11" i="2" s="1"/>
  <c r="I11" i="2"/>
  <c r="H11" i="2"/>
  <c r="J11" i="2" l="1"/>
  <c r="F11" i="2"/>
  <c r="G11" i="2" s="1"/>
  <c r="D32" i="2" l="1"/>
  <c r="E32" i="2"/>
  <c r="F32" i="2" l="1"/>
  <c r="G32" i="2" s="1"/>
  <c r="J31" i="2"/>
  <c r="N32" i="2" l="1"/>
  <c r="O32" i="2" s="1"/>
  <c r="P32" i="2" s="1"/>
  <c r="L8" i="2"/>
  <c r="M8" i="2" s="1"/>
  <c r="I8" i="2"/>
  <c r="H8" i="2"/>
  <c r="J8" i="2" l="1"/>
  <c r="L31" i="2"/>
  <c r="L10" i="2" l="1"/>
  <c r="M10" i="2" s="1"/>
  <c r="I10" i="2"/>
  <c r="H10" i="2"/>
  <c r="F10" i="2"/>
  <c r="G10" i="2" s="1"/>
  <c r="J10" i="2" l="1"/>
  <c r="D31" i="2"/>
  <c r="E31" i="2"/>
  <c r="F31" i="2" l="1"/>
  <c r="G31" i="2" s="1"/>
  <c r="N31" i="2" l="1"/>
  <c r="O31" i="2" s="1"/>
  <c r="P31" i="2" s="1"/>
  <c r="D30" i="2"/>
  <c r="E30" i="2"/>
  <c r="F30" i="2" l="1"/>
  <c r="G30" i="2" s="1"/>
  <c r="I9" i="2"/>
  <c r="H9" i="2"/>
  <c r="L9" i="2"/>
  <c r="M9" i="2" s="1"/>
  <c r="F9" i="2"/>
  <c r="G9" i="2" s="1"/>
  <c r="J9" i="2" l="1"/>
  <c r="N30" i="2"/>
  <c r="O30" i="2" s="1"/>
  <c r="P30" i="2" s="1"/>
  <c r="F8" i="2"/>
  <c r="G8" i="2" s="1"/>
  <c r="L29" i="2" l="1"/>
  <c r="D29" i="2" l="1"/>
  <c r="E29" i="2"/>
  <c r="F29" i="2" l="1"/>
  <c r="G29" i="2" s="1"/>
  <c r="L28" i="2"/>
  <c r="L39" i="2" s="1"/>
  <c r="N29" i="2" l="1"/>
  <c r="O29" i="2" s="1"/>
  <c r="P29" i="2" s="1"/>
  <c r="J28" i="2"/>
  <c r="I7" i="2" l="1"/>
  <c r="I16" i="2" s="1"/>
  <c r="H7" i="2"/>
  <c r="L7" i="2"/>
  <c r="L16" i="2" s="1"/>
  <c r="F7" i="2"/>
  <c r="F16" i="2" s="1"/>
  <c r="M7" i="2" l="1"/>
  <c r="M16" i="2" s="1"/>
  <c r="G7" i="2"/>
  <c r="G16" i="2" s="1"/>
  <c r="J7" i="2"/>
  <c r="D28" i="2"/>
  <c r="E28" i="2"/>
  <c r="F28" i="2" l="1"/>
  <c r="G28" i="2" s="1"/>
  <c r="H6" i="2"/>
  <c r="H16" i="2" s="1"/>
  <c r="D27" i="2"/>
  <c r="E27" i="2"/>
  <c r="K26" i="2"/>
  <c r="K25" i="2"/>
  <c r="J26" i="2"/>
  <c r="J39" i="2" s="1"/>
  <c r="D26" i="2"/>
  <c r="E26" i="2"/>
  <c r="E25" i="2"/>
  <c r="D25" i="2"/>
  <c r="F38" i="2"/>
  <c r="F37" i="2"/>
  <c r="G37" i="2" s="1"/>
  <c r="D39" i="2" l="1"/>
  <c r="E39" i="2"/>
  <c r="K39" i="2"/>
  <c r="J6" i="2"/>
  <c r="J16" i="2" s="1"/>
  <c r="G38" i="2"/>
  <c r="N28" i="2"/>
  <c r="O28" i="2" s="1"/>
  <c r="P28" i="2" s="1"/>
  <c r="F27" i="2"/>
  <c r="G27" i="2" s="1"/>
  <c r="F26" i="2"/>
  <c r="G26" i="2" s="1"/>
  <c r="F25" i="2"/>
  <c r="N38" i="2"/>
  <c r="N37" i="2"/>
  <c r="F39" i="2" l="1"/>
  <c r="N27" i="2"/>
  <c r="O27" i="2" s="1"/>
  <c r="P27" i="2" s="1"/>
  <c r="N26" i="2"/>
  <c r="O26" i="2" s="1"/>
  <c r="P26" i="2" s="1"/>
  <c r="G25" i="2"/>
  <c r="G39" i="2" s="1"/>
  <c r="O37" i="2"/>
  <c r="P37" i="2" s="1"/>
  <c r="N25" i="2"/>
  <c r="O38" i="2"/>
  <c r="N39" i="2" l="1"/>
  <c r="P38" i="2"/>
  <c r="O25" i="2"/>
  <c r="O39" i="2" s="1"/>
  <c r="P25" i="2" l="1"/>
  <c r="P39" i="2"/>
</calcChain>
</file>

<file path=xl/comments1.xml><?xml version="1.0" encoding="utf-8"?>
<comments xmlns="http://schemas.openxmlformats.org/spreadsheetml/2006/main">
  <authors>
    <author>Автор</author>
  </authors>
  <commentList>
    <comment ref="L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лавочка 1шт-5000р</t>
        </r>
      </text>
    </comment>
    <comment ref="L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4600р-спил 3-х деревьев</t>
        </r>
      </text>
    </comment>
    <comment ref="L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1140р-краска,колер,растворитель, лампочки
300р-ключи</t>
        </r>
      </text>
    </comment>
    <comment ref="L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32196,40р-(7270-устройство лотка, 12067,02-дизинсекция, 8941,38р-дератизация,3918р-вывоз мусора)</t>
        </r>
      </text>
    </comment>
    <comment ref="L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6420р прокладка асбест трубы
3170р-(3000-спил и опиловка деревьев, 170р-электролампочки)</t>
        </r>
      </text>
    </comment>
    <comment ref="L3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изоляция-180м*179р
=32220р</t>
        </r>
      </text>
    </comment>
    <comment ref="I3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1332р-премия дворник </t>
        </r>
      </text>
    </comment>
  </commentList>
</comments>
</file>

<file path=xl/sharedStrings.xml><?xml version="1.0" encoding="utf-8"?>
<sst xmlns="http://schemas.openxmlformats.org/spreadsheetml/2006/main" count="90" uniqueCount="68">
  <si>
    <t>Площадь</t>
  </si>
  <si>
    <t xml:space="preserve">Кол-во </t>
  </si>
  <si>
    <t xml:space="preserve">Поступило </t>
  </si>
  <si>
    <t>Содержание</t>
  </si>
  <si>
    <t>Расходы</t>
  </si>
  <si>
    <t>кв</t>
  </si>
  <si>
    <t>содер</t>
  </si>
  <si>
    <t>рем</t>
  </si>
  <si>
    <t>итого</t>
  </si>
  <si>
    <t>февраль</t>
  </si>
  <si>
    <t>Ген. директор ООО "Георгиевск - ЖЭУ"                                            Никишина И.М.</t>
  </si>
  <si>
    <t>март</t>
  </si>
  <si>
    <t>Медведев А.Г.</t>
  </si>
  <si>
    <t>апрель</t>
  </si>
  <si>
    <t>май</t>
  </si>
  <si>
    <t>ростелеком</t>
  </si>
  <si>
    <t>июнь</t>
  </si>
  <si>
    <t>3000р</t>
  </si>
  <si>
    <t>3918р</t>
  </si>
  <si>
    <t>вывоз мусора</t>
  </si>
  <si>
    <t>июль</t>
  </si>
  <si>
    <t>август</t>
  </si>
  <si>
    <t>сентябрь</t>
  </si>
  <si>
    <t>октябрь</t>
  </si>
  <si>
    <t>ноябрь</t>
  </si>
  <si>
    <t>декабрь</t>
  </si>
  <si>
    <t>дезинсекция</t>
  </si>
  <si>
    <t>январь</t>
  </si>
  <si>
    <t>Учет доходов и расходов по Калинина 131/1 на 2015 год</t>
  </si>
  <si>
    <t>Доходы и расходы по воде и стокам</t>
  </si>
  <si>
    <t>Вода</t>
  </si>
  <si>
    <t>Стоки ХВС, ГВС</t>
  </si>
  <si>
    <t>Вода ОДН</t>
  </si>
  <si>
    <t xml:space="preserve">начислено </t>
  </si>
  <si>
    <t xml:space="preserve">оплачено </t>
  </si>
  <si>
    <t>долг</t>
  </si>
  <si>
    <t>Итого</t>
  </si>
  <si>
    <t>Оплата банковских услуг и услуг ЕРКЦ</t>
  </si>
  <si>
    <t>Затраты по управлению</t>
  </si>
  <si>
    <t>Содержание придомовой территории</t>
  </si>
  <si>
    <t>Текущий ремонт</t>
  </si>
  <si>
    <t>аварийно-диспетчерское обслуживание</t>
  </si>
  <si>
    <t>Проф. обходы и осмотры, разное</t>
  </si>
  <si>
    <t>Обслуживание приборов учета</t>
  </si>
  <si>
    <t>Общие эксплутационные расходы</t>
  </si>
  <si>
    <t>Остаток</t>
  </si>
  <si>
    <t>Капитальный ремонт</t>
  </si>
  <si>
    <t xml:space="preserve">апрель </t>
  </si>
  <si>
    <t>5000р</t>
  </si>
  <si>
    <t>1 лавочка</t>
  </si>
  <si>
    <t>4600р</t>
  </si>
  <si>
    <t>спил 3-х деревьев</t>
  </si>
  <si>
    <t>1140р</t>
  </si>
  <si>
    <t>краска,колер,растворитель,лампочки</t>
  </si>
  <si>
    <t>300р</t>
  </si>
  <si>
    <t>ключи</t>
  </si>
  <si>
    <t>7270р</t>
  </si>
  <si>
    <t>устройство лотка</t>
  </si>
  <si>
    <t>12067,02р</t>
  </si>
  <si>
    <t>8941,38р</t>
  </si>
  <si>
    <t>дератизация</t>
  </si>
  <si>
    <t>6240р</t>
  </si>
  <si>
    <t>прокладка асбест трубы</t>
  </si>
  <si>
    <t>спил и опиловка деревьев</t>
  </si>
  <si>
    <t>170р</t>
  </si>
  <si>
    <t>электролампочки</t>
  </si>
  <si>
    <t>32220р</t>
  </si>
  <si>
    <t>изоляция 180м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</si>
</sst>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2" fontId="2" fillId="0" borderId="2" xfId="0" applyNumberFormat="1" applyFont="1" applyBorder="1"/>
    <xf numFmtId="0" fontId="2" fillId="0" borderId="6" xfId="0" applyFont="1" applyBorder="1"/>
    <xf numFmtId="2" fontId="2" fillId="0" borderId="6" xfId="0" applyNumberFormat="1" applyFont="1" applyBorder="1"/>
    <xf numFmtId="2" fontId="2" fillId="0" borderId="7" xfId="0" applyNumberFormat="1" applyFont="1" applyBorder="1"/>
    <xf numFmtId="2" fontId="2" fillId="0" borderId="8" xfId="0" applyNumberFormat="1" applyFont="1" applyBorder="1"/>
    <xf numFmtId="0" fontId="2" fillId="0" borderId="8" xfId="0" applyFont="1" applyBorder="1"/>
    <xf numFmtId="2" fontId="2" fillId="0" borderId="1" xfId="0" applyNumberFormat="1" applyFont="1" applyBorder="1"/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/>
    <xf numFmtId="164" fontId="2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2" fontId="2" fillId="4" borderId="10" xfId="0" applyNumberFormat="1" applyFont="1" applyFill="1" applyBorder="1"/>
    <xf numFmtId="0" fontId="6" fillId="4" borderId="1" xfId="0" applyFont="1" applyFill="1" applyBorder="1"/>
    <xf numFmtId="0" fontId="6" fillId="0" borderId="1" xfId="0" applyFont="1" applyBorder="1"/>
    <xf numFmtId="0" fontId="2" fillId="7" borderId="1" xfId="0" applyFont="1" applyFill="1" applyBorder="1"/>
    <xf numFmtId="0" fontId="2" fillId="8" borderId="1" xfId="0" applyFont="1" applyFill="1" applyBorder="1"/>
    <xf numFmtId="164" fontId="7" fillId="4" borderId="1" xfId="0" applyNumberFormat="1" applyFont="1" applyFill="1" applyBorder="1"/>
    <xf numFmtId="2" fontId="7" fillId="4" borderId="1" xfId="0" applyNumberFormat="1" applyFont="1" applyFill="1" applyBorder="1"/>
    <xf numFmtId="0" fontId="0" fillId="5" borderId="1" xfId="0" applyFill="1" applyBorder="1"/>
    <xf numFmtId="0" fontId="0" fillId="9" borderId="1" xfId="0" applyFill="1" applyBorder="1"/>
    <xf numFmtId="0" fontId="0" fillId="10" borderId="1" xfId="0" applyFill="1" applyBorder="1"/>
    <xf numFmtId="2" fontId="0" fillId="5" borderId="1" xfId="0" applyNumberFormat="1" applyFill="1" applyBorder="1"/>
    <xf numFmtId="2" fontId="0" fillId="9" borderId="1" xfId="0" applyNumberFormat="1" applyFill="1" applyBorder="1"/>
    <xf numFmtId="2" fontId="0" fillId="10" borderId="1" xfId="0" applyNumberFormat="1" applyFill="1" applyBorder="1"/>
    <xf numFmtId="2" fontId="0" fillId="0" borderId="0" xfId="0" applyNumberFormat="1" applyFill="1" applyBorder="1"/>
    <xf numFmtId="2" fontId="0" fillId="6" borderId="1" xfId="0" applyNumberFormat="1" applyFill="1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1" fillId="2" borderId="11" xfId="0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2" fillId="0" borderId="12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2" fontId="2" fillId="0" borderId="13" xfId="0" applyNumberFormat="1" applyFont="1" applyBorder="1" applyAlignment="1">
      <alignment horizontal="center" vertical="top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10" fillId="0" borderId="1" xfId="0" applyNumberFormat="1" applyFont="1" applyBorder="1"/>
    <xf numFmtId="0" fontId="2" fillId="11" borderId="1" xfId="0" applyFont="1" applyFill="1" applyBorder="1"/>
    <xf numFmtId="2" fontId="2" fillId="11" borderId="1" xfId="0" applyNumberFormat="1" applyFont="1" applyFill="1" applyBorder="1"/>
    <xf numFmtId="2" fontId="2" fillId="7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  <color rgb="FFCC99FF"/>
      <color rgb="FFCC66FF"/>
      <color rgb="FFCC00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3:Q55"/>
  <sheetViews>
    <sheetView tabSelected="1" topLeftCell="A20" zoomScaleNormal="100" workbookViewId="0">
      <selection activeCell="F24" sqref="F24"/>
    </sheetView>
  </sheetViews>
  <sheetFormatPr defaultRowHeight="15" x14ac:dyDescent="0.25"/>
  <cols>
    <col min="1" max="1" width="2.5703125" customWidth="1"/>
    <col min="2" max="2" width="2.28515625" customWidth="1"/>
    <col min="3" max="3" width="1.85546875" customWidth="1"/>
    <col min="4" max="5" width="10.5703125" customWidth="1"/>
    <col min="6" max="6" width="9.28515625" bestFit="1" customWidth="1"/>
    <col min="7" max="7" width="10" bestFit="1" customWidth="1"/>
    <col min="8" max="8" width="9.7109375" customWidth="1"/>
    <col min="9" max="9" width="10.140625" customWidth="1"/>
    <col min="10" max="10" width="10.7109375" customWidth="1"/>
    <col min="11" max="11" width="9.85546875" customWidth="1"/>
    <col min="12" max="12" width="10.5703125" customWidth="1"/>
    <col min="13" max="13" width="9.42578125" customWidth="1"/>
    <col min="14" max="14" width="10" customWidth="1"/>
    <col min="15" max="15" width="11.5703125" customWidth="1"/>
    <col min="16" max="16" width="10.28515625" customWidth="1"/>
  </cols>
  <sheetData>
    <row r="3" spans="1:17" x14ac:dyDescent="0.25">
      <c r="A3" s="43" t="s">
        <v>29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x14ac:dyDescent="0.25">
      <c r="A4" s="44"/>
      <c r="B4" s="44"/>
      <c r="C4" s="44"/>
      <c r="D4" s="44"/>
      <c r="E4" s="45" t="s">
        <v>30</v>
      </c>
      <c r="F4" s="45"/>
      <c r="G4" s="45"/>
      <c r="H4" s="46" t="s">
        <v>31</v>
      </c>
      <c r="I4" s="46"/>
      <c r="J4" s="46"/>
      <c r="K4" s="47" t="s">
        <v>32</v>
      </c>
      <c r="L4" s="47"/>
      <c r="M4" s="47"/>
    </row>
    <row r="5" spans="1:17" x14ac:dyDescent="0.25">
      <c r="A5" s="44"/>
      <c r="B5" s="44"/>
      <c r="C5" s="44"/>
      <c r="D5" s="44"/>
      <c r="E5" s="25" t="s">
        <v>33</v>
      </c>
      <c r="F5" s="25" t="s">
        <v>34</v>
      </c>
      <c r="G5" s="25" t="s">
        <v>35</v>
      </c>
      <c r="H5" s="26" t="s">
        <v>33</v>
      </c>
      <c r="I5" s="26" t="s">
        <v>34</v>
      </c>
      <c r="J5" s="26" t="s">
        <v>35</v>
      </c>
      <c r="K5" s="27" t="s">
        <v>33</v>
      </c>
      <c r="L5" s="27" t="s">
        <v>34</v>
      </c>
      <c r="M5" s="27" t="s">
        <v>35</v>
      </c>
    </row>
    <row r="6" spans="1:17" x14ac:dyDescent="0.25">
      <c r="A6" s="56" t="s">
        <v>11</v>
      </c>
      <c r="B6" s="56"/>
      <c r="C6" s="56"/>
      <c r="D6" s="56"/>
      <c r="E6" s="28">
        <v>13682.46</v>
      </c>
      <c r="F6" s="28">
        <v>0</v>
      </c>
      <c r="G6" s="28">
        <f>E6-F6</f>
        <v>13682.46</v>
      </c>
      <c r="H6" s="29">
        <f>7192.04+5340.73</f>
        <v>12532.77</v>
      </c>
      <c r="I6" s="29">
        <v>0</v>
      </c>
      <c r="J6" s="29">
        <f>H6-I6</f>
        <v>12532.77</v>
      </c>
      <c r="K6" s="30">
        <v>1040.3399999999999</v>
      </c>
      <c r="L6" s="30">
        <v>0</v>
      </c>
      <c r="M6" s="30">
        <f>K6-L6</f>
        <v>1040.3399999999999</v>
      </c>
      <c r="O6" s="31"/>
    </row>
    <row r="7" spans="1:17" x14ac:dyDescent="0.25">
      <c r="A7" s="54" t="s">
        <v>13</v>
      </c>
      <c r="B7" s="54"/>
      <c r="C7" s="54"/>
      <c r="D7" s="55"/>
      <c r="E7" s="28">
        <v>19073.439999999999</v>
      </c>
      <c r="F7" s="28">
        <f>10702.64+1049.11+44.08</f>
        <v>11795.83</v>
      </c>
      <c r="G7" s="28">
        <f t="shared" ref="G7:G15" si="0">E7-F7</f>
        <v>7277.6099999999988</v>
      </c>
      <c r="H7" s="29">
        <f>10025.71+7843.08</f>
        <v>17868.79</v>
      </c>
      <c r="I7" s="29">
        <f>5625.74+551.45+23.17+3088.59+459.19</f>
        <v>9748.1400000000012</v>
      </c>
      <c r="J7" s="29">
        <f t="shared" ref="J7:J15" si="1">H7-I7</f>
        <v>8120.65</v>
      </c>
      <c r="K7" s="30">
        <v>2569.89</v>
      </c>
      <c r="L7" s="30">
        <f>775.84+66.56+8.38</f>
        <v>850.78000000000009</v>
      </c>
      <c r="M7" s="30">
        <f t="shared" ref="M7:M15" si="2">K7-L7</f>
        <v>1719.1099999999997</v>
      </c>
      <c r="O7" s="31"/>
    </row>
    <row r="8" spans="1:17" x14ac:dyDescent="0.25">
      <c r="A8" s="54" t="s">
        <v>14</v>
      </c>
      <c r="B8" s="54"/>
      <c r="C8" s="54"/>
      <c r="D8" s="55"/>
      <c r="E8" s="28">
        <v>16913.52</v>
      </c>
      <c r="F8" s="28">
        <f>14405.35+1066.74+132.24</f>
        <v>15604.33</v>
      </c>
      <c r="G8" s="28">
        <f t="shared" si="0"/>
        <v>1309.1900000000005</v>
      </c>
      <c r="H8" s="29">
        <f>8890.38+7765.47</f>
        <v>16655.849999999999</v>
      </c>
      <c r="I8" s="29">
        <f>7572+560.71+69.51+6871.82+521.32+23.17</f>
        <v>15618.529999999999</v>
      </c>
      <c r="J8" s="29">
        <f t="shared" si="1"/>
        <v>1037.3199999999997</v>
      </c>
      <c r="K8" s="30">
        <v>4597.49</v>
      </c>
      <c r="L8" s="30">
        <f>2977.89+229.66+73.17</f>
        <v>3280.72</v>
      </c>
      <c r="M8" s="30">
        <f t="shared" si="2"/>
        <v>1316.77</v>
      </c>
      <c r="O8" s="31"/>
    </row>
    <row r="9" spans="1:17" x14ac:dyDescent="0.25">
      <c r="A9" s="54" t="s">
        <v>16</v>
      </c>
      <c r="B9" s="54"/>
      <c r="C9" s="54"/>
      <c r="D9" s="55"/>
      <c r="E9" s="28">
        <v>25513.52</v>
      </c>
      <c r="F9" s="28">
        <f>15867.96+1040.28+44.08</f>
        <v>16952.32</v>
      </c>
      <c r="G9" s="28">
        <f t="shared" si="0"/>
        <v>8561.2000000000007</v>
      </c>
      <c r="H9" s="29">
        <f>13410.8+6763.34</f>
        <v>20174.14</v>
      </c>
      <c r="I9" s="29">
        <f>8362.1+546.82+23.17+6828.24+461.09+23.17</f>
        <v>16244.59</v>
      </c>
      <c r="J9" s="29">
        <f t="shared" si="1"/>
        <v>3929.5499999999993</v>
      </c>
      <c r="K9" s="30">
        <v>5783.25</v>
      </c>
      <c r="L9" s="30">
        <f>2642.28+229.21+22.93</f>
        <v>2894.42</v>
      </c>
      <c r="M9" s="30">
        <f t="shared" si="2"/>
        <v>2888.83</v>
      </c>
      <c r="O9" s="31"/>
    </row>
    <row r="10" spans="1:17" x14ac:dyDescent="0.25">
      <c r="A10" s="54" t="s">
        <v>20</v>
      </c>
      <c r="B10" s="54"/>
      <c r="C10" s="54"/>
      <c r="D10" s="55"/>
      <c r="E10" s="28">
        <v>19588.189999999999</v>
      </c>
      <c r="F10" s="28">
        <f>20590.64+1794.06+586.26</f>
        <v>22970.959999999999</v>
      </c>
      <c r="G10" s="28">
        <f t="shared" si="0"/>
        <v>-3382.7700000000004</v>
      </c>
      <c r="H10" s="29">
        <f>10209.11+6081.83</f>
        <v>16290.94</v>
      </c>
      <c r="I10" s="29">
        <f>10801.85+943.02+308.16+5903.75+472.67+356.82</f>
        <v>18786.269999999997</v>
      </c>
      <c r="J10" s="29">
        <f t="shared" si="1"/>
        <v>-2495.3299999999963</v>
      </c>
      <c r="K10" s="30">
        <v>3519.06</v>
      </c>
      <c r="L10" s="30">
        <f>4830+282.11+87.72</f>
        <v>5199.83</v>
      </c>
      <c r="M10" s="30">
        <f t="shared" si="2"/>
        <v>-1680.77</v>
      </c>
      <c r="O10" s="31"/>
    </row>
    <row r="11" spans="1:17" x14ac:dyDescent="0.25">
      <c r="A11" s="54" t="s">
        <v>21</v>
      </c>
      <c r="B11" s="54"/>
      <c r="C11" s="54"/>
      <c r="D11" s="55"/>
      <c r="E11" s="28">
        <v>23790.799999999999</v>
      </c>
      <c r="F11" s="28">
        <f>20953.03+385.48+288.84</f>
        <v>21627.35</v>
      </c>
      <c r="G11" s="28">
        <f t="shared" si="0"/>
        <v>2163.4500000000007</v>
      </c>
      <c r="H11" s="29">
        <f>12399.53+7509.52</f>
        <v>19909.050000000003</v>
      </c>
      <c r="I11" s="29">
        <f>10008.49+201.12+150.54+5449.5+259.04+100.36</f>
        <v>16169.050000000003</v>
      </c>
      <c r="J11" s="29">
        <f t="shared" si="1"/>
        <v>3740</v>
      </c>
      <c r="K11" s="30">
        <v>5719.01</v>
      </c>
      <c r="L11" s="30">
        <f>3330.48+276.39+165.45</f>
        <v>3772.3199999999997</v>
      </c>
      <c r="M11" s="30">
        <f t="shared" si="2"/>
        <v>1946.6900000000005</v>
      </c>
      <c r="O11" s="31"/>
    </row>
    <row r="12" spans="1:17" x14ac:dyDescent="0.25">
      <c r="A12" s="54" t="s">
        <v>22</v>
      </c>
      <c r="B12" s="54"/>
      <c r="C12" s="54"/>
      <c r="D12" s="55"/>
      <c r="E12" s="28">
        <v>23545.26</v>
      </c>
      <c r="F12" s="28">
        <f>20591.17+1804.96+1145.94</f>
        <v>23542.069999999996</v>
      </c>
      <c r="G12" s="28">
        <f t="shared" si="0"/>
        <v>3.1900000000023283</v>
      </c>
      <c r="H12" s="29">
        <f>12271.53+7509.49</f>
        <v>19781.02</v>
      </c>
      <c r="I12" s="29">
        <f>11615.82+941.9+1347.46+6693.46+480.4+188.18</f>
        <v>21267.22</v>
      </c>
      <c r="J12" s="29">
        <f t="shared" si="1"/>
        <v>-1486.2000000000007</v>
      </c>
      <c r="K12" s="30">
        <v>4712.8599999999997</v>
      </c>
      <c r="L12" s="30">
        <f>4635.06+660.22+210.01</f>
        <v>5505.2900000000009</v>
      </c>
      <c r="M12" s="30">
        <f t="shared" si="2"/>
        <v>-792.4300000000012</v>
      </c>
      <c r="O12" s="31"/>
    </row>
    <row r="13" spans="1:17" x14ac:dyDescent="0.25">
      <c r="A13" s="54" t="s">
        <v>23</v>
      </c>
      <c r="B13" s="54"/>
      <c r="C13" s="54"/>
      <c r="D13" s="55"/>
      <c r="E13" s="28">
        <v>20685.759999999998</v>
      </c>
      <c r="F13" s="28">
        <f>20782.03+1140.92+981.62</f>
        <v>22904.569999999996</v>
      </c>
      <c r="G13" s="28">
        <f t="shared" si="0"/>
        <v>-2218.8099999999977</v>
      </c>
      <c r="H13" s="29">
        <f>10781.17+7855.69</f>
        <v>18636.86</v>
      </c>
      <c r="I13" s="29">
        <f>10880.83+594.64+391.4+6325.46+238.36+107.89</f>
        <v>18538.579999999998</v>
      </c>
      <c r="J13" s="29">
        <f t="shared" si="1"/>
        <v>98.280000000002474</v>
      </c>
      <c r="K13" s="30">
        <v>4058.23</v>
      </c>
      <c r="L13" s="30">
        <f>4280.6+305.68+191.6</f>
        <v>4777.880000000001</v>
      </c>
      <c r="M13" s="30">
        <f t="shared" si="2"/>
        <v>-719.650000000001</v>
      </c>
      <c r="O13" s="31"/>
    </row>
    <row r="14" spans="1:17" x14ac:dyDescent="0.25">
      <c r="A14" s="54" t="s">
        <v>24</v>
      </c>
      <c r="B14" s="54"/>
      <c r="C14" s="54"/>
      <c r="D14" s="55"/>
      <c r="E14" s="28">
        <v>21489.7</v>
      </c>
      <c r="F14" s="28">
        <f>14274.27+4505.89+769.58</f>
        <v>19549.740000000002</v>
      </c>
      <c r="G14" s="28">
        <f t="shared" si="0"/>
        <v>1939.9599999999991</v>
      </c>
      <c r="H14" s="29">
        <f>11200.15+7963.6</f>
        <v>19163.75</v>
      </c>
      <c r="I14" s="29">
        <f>7440.48+2348.44+240.5+5903.71+1134.06+168.1</f>
        <v>17235.29</v>
      </c>
      <c r="J14" s="29">
        <f t="shared" si="1"/>
        <v>1928.4599999999991</v>
      </c>
      <c r="K14" s="30">
        <v>3109.92</v>
      </c>
      <c r="L14" s="30">
        <f>2829.22+865.08+173.3</f>
        <v>3867.6</v>
      </c>
      <c r="M14" s="30">
        <f t="shared" si="2"/>
        <v>-757.67999999999984</v>
      </c>
      <c r="O14" s="31"/>
    </row>
    <row r="15" spans="1:17" x14ac:dyDescent="0.25">
      <c r="A15" s="54" t="s">
        <v>25</v>
      </c>
      <c r="B15" s="54"/>
      <c r="C15" s="54"/>
      <c r="D15" s="55"/>
      <c r="E15" s="28">
        <v>20074.400000000001</v>
      </c>
      <c r="F15" s="28">
        <f>21171.99+4179.59+471.79</f>
        <v>25823.370000000003</v>
      </c>
      <c r="G15" s="28">
        <f t="shared" si="0"/>
        <v>-5748.9700000000012</v>
      </c>
      <c r="H15" s="29">
        <f>10462.57+7512.01</f>
        <v>17974.580000000002</v>
      </c>
      <c r="I15" s="29">
        <f>11462.84+2215.41+1249.68+7769.05+1362.38</f>
        <v>24059.360000000001</v>
      </c>
      <c r="J15" s="29">
        <f t="shared" si="1"/>
        <v>-6084.7799999999988</v>
      </c>
      <c r="K15" s="30">
        <v>5439.87</v>
      </c>
      <c r="L15" s="30">
        <f>2777.66+659.96+67.4</f>
        <v>3505.02</v>
      </c>
      <c r="M15" s="30">
        <f t="shared" si="2"/>
        <v>1934.85</v>
      </c>
      <c r="O15" s="31"/>
    </row>
    <row r="16" spans="1:17" x14ac:dyDescent="0.25">
      <c r="A16" s="54" t="s">
        <v>36</v>
      </c>
      <c r="B16" s="54"/>
      <c r="C16" s="54"/>
      <c r="D16" s="55"/>
      <c r="E16" s="32">
        <f t="shared" ref="E16:M16" si="3">SUM(E6:E15)</f>
        <v>204357.05000000002</v>
      </c>
      <c r="F16" s="32">
        <f t="shared" si="3"/>
        <v>180770.53999999998</v>
      </c>
      <c r="G16" s="32">
        <f t="shared" si="3"/>
        <v>23586.510000000006</v>
      </c>
      <c r="H16" s="32">
        <f t="shared" si="3"/>
        <v>178987.75</v>
      </c>
      <c r="I16" s="32">
        <f t="shared" si="3"/>
        <v>157667.02999999997</v>
      </c>
      <c r="J16" s="32">
        <f t="shared" si="3"/>
        <v>21320.720000000001</v>
      </c>
      <c r="K16" s="32">
        <f t="shared" si="3"/>
        <v>40549.920000000006</v>
      </c>
      <c r="L16" s="32">
        <f t="shared" si="3"/>
        <v>33653.86</v>
      </c>
      <c r="M16" s="32">
        <f t="shared" si="3"/>
        <v>6896.0599999999977</v>
      </c>
    </row>
    <row r="17" spans="1:17" x14ac:dyDescent="0.25">
      <c r="A17" s="33"/>
      <c r="B17" s="33"/>
      <c r="C17" s="33"/>
      <c r="D17" s="33"/>
      <c r="E17" s="31"/>
      <c r="F17" s="31"/>
      <c r="G17" s="31"/>
      <c r="H17" s="31"/>
      <c r="I17" s="31"/>
      <c r="J17" s="31"/>
      <c r="K17" s="31"/>
      <c r="L17" s="31"/>
      <c r="M17" s="31"/>
    </row>
    <row r="18" spans="1:17" x14ac:dyDescent="0.25">
      <c r="A18" s="33"/>
      <c r="B18" s="33"/>
      <c r="C18" s="33"/>
      <c r="D18" s="33"/>
      <c r="E18" s="31"/>
      <c r="F18" s="31"/>
      <c r="G18" s="31"/>
      <c r="H18" s="31"/>
      <c r="I18" s="31"/>
      <c r="J18" s="31"/>
      <c r="K18" s="31"/>
      <c r="L18" s="31"/>
      <c r="M18" s="31"/>
    </row>
    <row r="19" spans="1:17" x14ac:dyDescent="0.25">
      <c r="E19" s="34"/>
      <c r="F19" s="34"/>
      <c r="G19" s="34"/>
      <c r="H19" s="34"/>
      <c r="I19" s="34"/>
      <c r="J19" s="34"/>
      <c r="K19" s="34"/>
      <c r="L19" s="34"/>
      <c r="M19" s="34"/>
    </row>
    <row r="21" spans="1:17" x14ac:dyDescent="0.25">
      <c r="A21" s="35" t="s">
        <v>28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36" customHeight="1" x14ac:dyDescent="0.25">
      <c r="A22" s="1"/>
      <c r="B22" s="2" t="s">
        <v>0</v>
      </c>
      <c r="C22" s="3" t="s">
        <v>1</v>
      </c>
      <c r="D22" s="37" t="s">
        <v>2</v>
      </c>
      <c r="E22" s="38"/>
      <c r="F22" s="39"/>
      <c r="G22" s="57" t="s">
        <v>37</v>
      </c>
      <c r="H22" s="48" t="s">
        <v>38</v>
      </c>
      <c r="I22" s="48" t="s">
        <v>39</v>
      </c>
      <c r="J22" s="48" t="s">
        <v>40</v>
      </c>
      <c r="K22" s="40" t="s">
        <v>3</v>
      </c>
      <c r="L22" s="40"/>
      <c r="M22" s="40"/>
      <c r="N22" s="40"/>
      <c r="O22" s="51" t="s">
        <v>4</v>
      </c>
      <c r="P22" s="62" t="s">
        <v>45</v>
      </c>
      <c r="Q22" s="60" t="s">
        <v>46</v>
      </c>
    </row>
    <row r="23" spans="1:17" ht="40.5" customHeight="1" thickBot="1" x14ac:dyDescent="0.3">
      <c r="A23" s="1"/>
      <c r="B23" s="4"/>
      <c r="C23" s="5" t="s">
        <v>5</v>
      </c>
      <c r="D23" s="5" t="s">
        <v>6</v>
      </c>
      <c r="E23" s="5" t="s">
        <v>7</v>
      </c>
      <c r="F23" s="5" t="s">
        <v>8</v>
      </c>
      <c r="G23" s="58"/>
      <c r="H23" s="49"/>
      <c r="I23" s="49"/>
      <c r="J23" s="49"/>
      <c r="K23" s="48" t="s">
        <v>41</v>
      </c>
      <c r="L23" s="48" t="s">
        <v>42</v>
      </c>
      <c r="M23" s="48" t="s">
        <v>43</v>
      </c>
      <c r="N23" s="48" t="s">
        <v>44</v>
      </c>
      <c r="O23" s="52"/>
      <c r="P23" s="63"/>
      <c r="Q23" s="61"/>
    </row>
    <row r="24" spans="1:17" ht="15.75" thickBot="1" x14ac:dyDescent="0.3">
      <c r="A24" s="1"/>
      <c r="B24" s="4">
        <v>6563.2</v>
      </c>
      <c r="C24" s="5"/>
      <c r="D24" s="5"/>
      <c r="E24" s="6"/>
      <c r="F24" s="7">
        <v>-112958.3</v>
      </c>
      <c r="G24" s="59"/>
      <c r="H24" s="50"/>
      <c r="I24" s="50"/>
      <c r="J24" s="50"/>
      <c r="K24" s="50"/>
      <c r="L24" s="50"/>
      <c r="M24" s="50"/>
      <c r="N24" s="50"/>
      <c r="O24" s="53"/>
      <c r="P24" s="64"/>
      <c r="Q24" s="8">
        <v>0</v>
      </c>
    </row>
    <row r="25" spans="1:17" x14ac:dyDescent="0.25">
      <c r="A25" s="1" t="s">
        <v>27</v>
      </c>
      <c r="B25" s="1"/>
      <c r="C25" s="9"/>
      <c r="D25" s="10">
        <f>45741.66+3525.91+2077.99</f>
        <v>51345.560000000005</v>
      </c>
      <c r="E25" s="11">
        <f>11633.99+898.93+530.32</f>
        <v>13063.24</v>
      </c>
      <c r="F25" s="12">
        <f t="shared" ref="F25:F36" si="4">SUM(D25:E25)</f>
        <v>64408.800000000003</v>
      </c>
      <c r="G25" s="13">
        <f t="shared" ref="G25:G36" si="5">SUM(F25*0.09)</f>
        <v>5796.7920000000004</v>
      </c>
      <c r="H25" s="13">
        <v>0</v>
      </c>
      <c r="I25" s="14">
        <v>17450.2</v>
      </c>
      <c r="J25" s="15">
        <v>5662</v>
      </c>
      <c r="K25" s="15">
        <f>B24*1.4</f>
        <v>9188.48</v>
      </c>
      <c r="L25" s="15">
        <v>7992</v>
      </c>
      <c r="M25" s="15">
        <v>2400</v>
      </c>
      <c r="N25" s="15">
        <f t="shared" ref="N25:N38" si="6">SUM(F25*0.15)</f>
        <v>9661.32</v>
      </c>
      <c r="O25" s="16">
        <f t="shared" ref="O25:O36" si="7">SUM(G25:N25)</f>
        <v>58150.792000000001</v>
      </c>
      <c r="P25" s="17">
        <f t="shared" ref="P25:P36" si="8">SUM(F25-O25)</f>
        <v>6258.0080000000016</v>
      </c>
      <c r="Q25" s="18">
        <v>0</v>
      </c>
    </row>
    <row r="26" spans="1:17" x14ac:dyDescent="0.25">
      <c r="A26" s="1" t="s">
        <v>9</v>
      </c>
      <c r="B26" s="1"/>
      <c r="C26" s="9"/>
      <c r="D26" s="10">
        <f>54921.12+11608.72</f>
        <v>66529.84</v>
      </c>
      <c r="E26" s="11">
        <f>14219.08+2959.98</f>
        <v>17179.060000000001</v>
      </c>
      <c r="F26" s="12">
        <f t="shared" si="4"/>
        <v>83708.899999999994</v>
      </c>
      <c r="G26" s="13">
        <f t="shared" si="5"/>
        <v>7533.8009999999995</v>
      </c>
      <c r="H26" s="13">
        <v>0</v>
      </c>
      <c r="I26" s="14">
        <v>17450.2</v>
      </c>
      <c r="J26" s="15">
        <f>805+38071+901</f>
        <v>39777</v>
      </c>
      <c r="K26" s="15">
        <f>B24*1.4</f>
        <v>9188.48</v>
      </c>
      <c r="L26" s="15">
        <v>7992</v>
      </c>
      <c r="M26" s="15">
        <v>2400</v>
      </c>
      <c r="N26" s="15">
        <f t="shared" si="6"/>
        <v>12556.334999999999</v>
      </c>
      <c r="O26" s="16">
        <f t="shared" si="7"/>
        <v>96897.815999999992</v>
      </c>
      <c r="P26" s="17">
        <f t="shared" si="8"/>
        <v>-13188.915999999997</v>
      </c>
      <c r="Q26" s="18">
        <v>0</v>
      </c>
    </row>
    <row r="27" spans="1:17" x14ac:dyDescent="0.25">
      <c r="A27" s="1" t="s">
        <v>11</v>
      </c>
      <c r="B27" s="1"/>
      <c r="C27" s="9"/>
      <c r="D27" s="10">
        <f>52310.88+2895.5+458.4</f>
        <v>55664.78</v>
      </c>
      <c r="E27" s="11">
        <f>13270.75+738.19+116.87</f>
        <v>14125.810000000001</v>
      </c>
      <c r="F27" s="12">
        <f t="shared" si="4"/>
        <v>69790.59</v>
      </c>
      <c r="G27" s="13">
        <f t="shared" si="5"/>
        <v>6281.1530999999995</v>
      </c>
      <c r="H27" s="13">
        <v>6563.2</v>
      </c>
      <c r="I27" s="14">
        <v>17450.2</v>
      </c>
      <c r="J27" s="15">
        <v>0</v>
      </c>
      <c r="K27" s="15">
        <v>9188.48</v>
      </c>
      <c r="L27" s="15">
        <v>7992</v>
      </c>
      <c r="M27" s="15">
        <v>2400</v>
      </c>
      <c r="N27" s="15">
        <f t="shared" si="6"/>
        <v>10468.5885</v>
      </c>
      <c r="O27" s="16">
        <f t="shared" si="7"/>
        <v>60343.621599999999</v>
      </c>
      <c r="P27" s="17">
        <f t="shared" si="8"/>
        <v>9446.9683999999979</v>
      </c>
      <c r="Q27" s="18">
        <v>0</v>
      </c>
    </row>
    <row r="28" spans="1:17" x14ac:dyDescent="0.25">
      <c r="A28" s="1" t="s">
        <v>13</v>
      </c>
      <c r="B28" s="1"/>
      <c r="C28" s="9"/>
      <c r="D28" s="10">
        <f>46246.45+9402.26+1629.87</f>
        <v>57278.58</v>
      </c>
      <c r="E28" s="11">
        <f>17905.77+2847.66+468.13</f>
        <v>21221.56</v>
      </c>
      <c r="F28" s="12">
        <f t="shared" si="4"/>
        <v>78500.14</v>
      </c>
      <c r="G28" s="13">
        <f t="shared" si="5"/>
        <v>7065.0126</v>
      </c>
      <c r="H28" s="13">
        <v>6563.2</v>
      </c>
      <c r="I28" s="14">
        <v>17450.2</v>
      </c>
      <c r="J28" s="15">
        <f>18676+1235+1091</f>
        <v>21002</v>
      </c>
      <c r="K28" s="15">
        <v>9188.48</v>
      </c>
      <c r="L28" s="15">
        <f>7992+5000</f>
        <v>12992</v>
      </c>
      <c r="M28" s="15">
        <v>2400</v>
      </c>
      <c r="N28" s="15">
        <f t="shared" si="6"/>
        <v>11775.020999999999</v>
      </c>
      <c r="O28" s="16">
        <f t="shared" si="7"/>
        <v>88435.913599999985</v>
      </c>
      <c r="P28" s="17">
        <f t="shared" si="8"/>
        <v>-9935.7735999999859</v>
      </c>
      <c r="Q28" s="18">
        <v>0</v>
      </c>
    </row>
    <row r="29" spans="1:17" x14ac:dyDescent="0.25">
      <c r="A29" s="1" t="s">
        <v>14</v>
      </c>
      <c r="B29" s="1"/>
      <c r="C29" s="9"/>
      <c r="D29" s="10">
        <f>45923.5+3155.9+3976.8</f>
        <v>53056.200000000004</v>
      </c>
      <c r="E29" s="11">
        <f>17169.04+1132.66+1296.44</f>
        <v>19598.14</v>
      </c>
      <c r="F29" s="12">
        <f t="shared" si="4"/>
        <v>72654.34</v>
      </c>
      <c r="G29" s="13">
        <f t="shared" si="5"/>
        <v>6538.8905999999997</v>
      </c>
      <c r="H29" s="13">
        <v>6563.2</v>
      </c>
      <c r="I29" s="14">
        <v>17450.2</v>
      </c>
      <c r="J29" s="15">
        <v>0</v>
      </c>
      <c r="K29" s="15">
        <v>9188.48</v>
      </c>
      <c r="L29" s="15">
        <f>7992+4600</f>
        <v>12592</v>
      </c>
      <c r="M29" s="15">
        <v>0</v>
      </c>
      <c r="N29" s="15">
        <f t="shared" si="6"/>
        <v>10898.151</v>
      </c>
      <c r="O29" s="16">
        <f t="shared" si="7"/>
        <v>63230.921600000001</v>
      </c>
      <c r="P29" s="17">
        <f t="shared" si="8"/>
        <v>9423.418399999995</v>
      </c>
      <c r="Q29" s="18">
        <v>0</v>
      </c>
    </row>
    <row r="30" spans="1:17" x14ac:dyDescent="0.25">
      <c r="A30" s="41" t="s">
        <v>16</v>
      </c>
      <c r="B30" s="42"/>
      <c r="C30" s="9"/>
      <c r="D30" s="10">
        <f>49490.58+5932.47+505.68</f>
        <v>55928.73</v>
      </c>
      <c r="E30" s="11">
        <f>18377.72+1900.7+181.47</f>
        <v>20459.890000000003</v>
      </c>
      <c r="F30" s="12">
        <f t="shared" si="4"/>
        <v>76388.62000000001</v>
      </c>
      <c r="G30" s="13">
        <f t="shared" si="5"/>
        <v>6874.9758000000011</v>
      </c>
      <c r="H30" s="13">
        <v>6563.2</v>
      </c>
      <c r="I30" s="14">
        <v>17450.2</v>
      </c>
      <c r="J30" s="15">
        <v>0</v>
      </c>
      <c r="K30" s="15">
        <v>9188.48</v>
      </c>
      <c r="L30" s="15">
        <v>7992</v>
      </c>
      <c r="M30" s="15">
        <v>0</v>
      </c>
      <c r="N30" s="15">
        <f t="shared" si="6"/>
        <v>11458.293000000001</v>
      </c>
      <c r="O30" s="16">
        <f t="shared" si="7"/>
        <v>59527.14880000001</v>
      </c>
      <c r="P30" s="17">
        <f t="shared" si="8"/>
        <v>16861.4712</v>
      </c>
      <c r="Q30" s="18">
        <v>0</v>
      </c>
    </row>
    <row r="31" spans="1:17" x14ac:dyDescent="0.25">
      <c r="A31" s="41" t="s">
        <v>20</v>
      </c>
      <c r="B31" s="42"/>
      <c r="C31" s="9"/>
      <c r="D31" s="10">
        <f>50977.27+6541.32+957.96</f>
        <v>58476.549999999996</v>
      </c>
      <c r="E31" s="11">
        <f>19005.84+2196.79+343.97</f>
        <v>21546.600000000002</v>
      </c>
      <c r="F31" s="12">
        <f t="shared" si="4"/>
        <v>80023.149999999994</v>
      </c>
      <c r="G31" s="13">
        <f t="shared" si="5"/>
        <v>7202.0834999999988</v>
      </c>
      <c r="H31" s="13">
        <v>6563.2</v>
      </c>
      <c r="I31" s="14">
        <v>17450.2</v>
      </c>
      <c r="J31" s="15">
        <f>281+32378+12004</f>
        <v>44663</v>
      </c>
      <c r="K31" s="15">
        <v>9188.48</v>
      </c>
      <c r="L31" s="15">
        <f>7992+1140+300</f>
        <v>9432</v>
      </c>
      <c r="M31" s="15">
        <v>0</v>
      </c>
      <c r="N31" s="15">
        <f t="shared" si="6"/>
        <v>12003.472499999998</v>
      </c>
      <c r="O31" s="16">
        <f t="shared" si="7"/>
        <v>106502.436</v>
      </c>
      <c r="P31" s="17">
        <f t="shared" si="8"/>
        <v>-26479.286000000007</v>
      </c>
      <c r="Q31" s="18">
        <v>0</v>
      </c>
    </row>
    <row r="32" spans="1:17" x14ac:dyDescent="0.25">
      <c r="A32" s="41" t="s">
        <v>21</v>
      </c>
      <c r="B32" s="42"/>
      <c r="C32" s="9"/>
      <c r="D32" s="10">
        <f>52808.12+4438.86+13600.77</f>
        <v>70847.75</v>
      </c>
      <c r="E32" s="11">
        <f>19439.24+1593.57+2504.55</f>
        <v>23537.360000000001</v>
      </c>
      <c r="F32" s="12">
        <f t="shared" si="4"/>
        <v>94385.11</v>
      </c>
      <c r="G32" s="13">
        <f t="shared" si="5"/>
        <v>8494.6599000000006</v>
      </c>
      <c r="H32" s="13">
        <v>6563.2</v>
      </c>
      <c r="I32" s="14">
        <v>17450.2</v>
      </c>
      <c r="J32" s="15">
        <f>1212+56629+6887+4556</f>
        <v>69284</v>
      </c>
      <c r="K32" s="15">
        <v>9188.48</v>
      </c>
      <c r="L32" s="15">
        <f>7992+32196.4</f>
        <v>40188.400000000001</v>
      </c>
      <c r="M32" s="15">
        <v>0</v>
      </c>
      <c r="N32" s="15">
        <f t="shared" si="6"/>
        <v>14157.7665</v>
      </c>
      <c r="O32" s="16">
        <f t="shared" si="7"/>
        <v>165326.7064</v>
      </c>
      <c r="P32" s="17">
        <f t="shared" si="8"/>
        <v>-70941.596399999995</v>
      </c>
      <c r="Q32" s="18">
        <v>0</v>
      </c>
    </row>
    <row r="33" spans="1:17" x14ac:dyDescent="0.25">
      <c r="A33" s="41" t="s">
        <v>22</v>
      </c>
      <c r="B33" s="42"/>
      <c r="C33" s="9"/>
      <c r="D33" s="10">
        <f>48736.68+8791.68+2290.07</f>
        <v>59818.43</v>
      </c>
      <c r="E33" s="11">
        <f>19002.52+3370.76+822.15</f>
        <v>23195.43</v>
      </c>
      <c r="F33" s="12">
        <f t="shared" si="4"/>
        <v>83013.86</v>
      </c>
      <c r="G33" s="13">
        <f t="shared" si="5"/>
        <v>7471.2474000000002</v>
      </c>
      <c r="H33" s="13">
        <v>6563.2</v>
      </c>
      <c r="I33" s="14">
        <v>17450.2</v>
      </c>
      <c r="J33" s="15">
        <f>874+48280+1201+42960+393+4412</f>
        <v>98120</v>
      </c>
      <c r="K33" s="15">
        <v>9188.48</v>
      </c>
      <c r="L33" s="15">
        <f>8791.2+6420+3170</f>
        <v>18381.2</v>
      </c>
      <c r="M33" s="15">
        <v>0</v>
      </c>
      <c r="N33" s="15">
        <f t="shared" si="6"/>
        <v>12452.079</v>
      </c>
      <c r="O33" s="16">
        <f t="shared" si="7"/>
        <v>169626.40640000001</v>
      </c>
      <c r="P33" s="17">
        <f t="shared" si="8"/>
        <v>-86612.546400000007</v>
      </c>
      <c r="Q33" s="18">
        <v>0</v>
      </c>
    </row>
    <row r="34" spans="1:17" x14ac:dyDescent="0.25">
      <c r="A34" s="41" t="s">
        <v>23</v>
      </c>
      <c r="B34" s="42"/>
      <c r="C34" s="9"/>
      <c r="D34" s="10">
        <f>54256.58+3869.95+2100.35</f>
        <v>60226.879999999997</v>
      </c>
      <c r="E34" s="11">
        <f>20152.08+1389.33+780.23</f>
        <v>22321.640000000003</v>
      </c>
      <c r="F34" s="12">
        <f t="shared" si="4"/>
        <v>82548.52</v>
      </c>
      <c r="G34" s="13">
        <f t="shared" si="5"/>
        <v>7429.3667999999998</v>
      </c>
      <c r="H34" s="13">
        <v>6563.2</v>
      </c>
      <c r="I34" s="14">
        <v>17450.2</v>
      </c>
      <c r="J34" s="15">
        <f>2701+15358+580+393</f>
        <v>19032</v>
      </c>
      <c r="K34" s="15">
        <v>9188.48</v>
      </c>
      <c r="L34" s="15">
        <v>8791.2000000000007</v>
      </c>
      <c r="M34" s="15">
        <v>2800</v>
      </c>
      <c r="N34" s="15">
        <f t="shared" si="6"/>
        <v>12382.278</v>
      </c>
      <c r="O34" s="16">
        <f t="shared" si="7"/>
        <v>83636.724799999996</v>
      </c>
      <c r="P34" s="17">
        <f t="shared" si="8"/>
        <v>-1088.2047999999922</v>
      </c>
      <c r="Q34" s="18">
        <v>0</v>
      </c>
    </row>
    <row r="35" spans="1:17" x14ac:dyDescent="0.25">
      <c r="A35" s="41" t="s">
        <v>24</v>
      </c>
      <c r="B35" s="42"/>
      <c r="C35" s="9"/>
      <c r="D35" s="10">
        <f>41318.56+11445.19+2399.97</f>
        <v>55163.72</v>
      </c>
      <c r="E35" s="11">
        <f>16063.74+4324.29+181.47</f>
        <v>20569.5</v>
      </c>
      <c r="F35" s="12">
        <f t="shared" si="4"/>
        <v>75733.22</v>
      </c>
      <c r="G35" s="13">
        <f t="shared" si="5"/>
        <v>6815.9898000000003</v>
      </c>
      <c r="H35" s="13">
        <v>6563.2</v>
      </c>
      <c r="I35" s="14">
        <v>17450.2</v>
      </c>
      <c r="J35" s="15">
        <v>0</v>
      </c>
      <c r="K35" s="15">
        <v>9188.48</v>
      </c>
      <c r="L35" s="15">
        <f>8791.2+32220</f>
        <v>41011.199999999997</v>
      </c>
      <c r="M35" s="15">
        <v>2800</v>
      </c>
      <c r="N35" s="15">
        <f t="shared" si="6"/>
        <v>11359.983</v>
      </c>
      <c r="O35" s="16">
        <f t="shared" si="7"/>
        <v>95189.052800000005</v>
      </c>
      <c r="P35" s="17">
        <f t="shared" si="8"/>
        <v>-19455.832800000004</v>
      </c>
      <c r="Q35" s="18">
        <v>0</v>
      </c>
    </row>
    <row r="36" spans="1:17" x14ac:dyDescent="0.25">
      <c r="A36" s="41" t="s">
        <v>25</v>
      </c>
      <c r="B36" s="42"/>
      <c r="C36" s="9"/>
      <c r="D36" s="10">
        <f>51102.09+11667.17+1189.72</f>
        <v>63958.979999999996</v>
      </c>
      <c r="E36" s="11">
        <f>22400.37+4403.89+427.12</f>
        <v>27231.379999999997</v>
      </c>
      <c r="F36" s="12">
        <f t="shared" si="4"/>
        <v>91190.359999999986</v>
      </c>
      <c r="G36" s="13">
        <f t="shared" si="5"/>
        <v>8207.1323999999986</v>
      </c>
      <c r="H36" s="13">
        <v>6563.2</v>
      </c>
      <c r="I36" s="14">
        <f>17450.2+1332</f>
        <v>18782.2</v>
      </c>
      <c r="J36" s="15">
        <f>923+368+408+4569+3987</f>
        <v>10255</v>
      </c>
      <c r="K36" s="15">
        <v>9188.48</v>
      </c>
      <c r="L36" s="15">
        <v>8791.2000000000007</v>
      </c>
      <c r="M36" s="15">
        <v>2800</v>
      </c>
      <c r="N36" s="15">
        <f t="shared" si="6"/>
        <v>13678.553999999998</v>
      </c>
      <c r="O36" s="16">
        <f t="shared" si="7"/>
        <v>78265.766399999993</v>
      </c>
      <c r="P36" s="17">
        <f t="shared" si="8"/>
        <v>12924.593599999993</v>
      </c>
      <c r="Q36" s="18">
        <v>0</v>
      </c>
    </row>
    <row r="37" spans="1:17" x14ac:dyDescent="0.25">
      <c r="A37" s="21" t="s">
        <v>12</v>
      </c>
      <c r="B37" s="21"/>
      <c r="C37" s="68"/>
      <c r="D37" s="10">
        <f>3750+3750+3750+3750</f>
        <v>15000</v>
      </c>
      <c r="E37" s="11">
        <v>0</v>
      </c>
      <c r="F37" s="12">
        <f>D37+E37</f>
        <v>15000</v>
      </c>
      <c r="G37" s="13">
        <f>SUM(F37*0.06)</f>
        <v>900</v>
      </c>
      <c r="H37" s="13">
        <v>0</v>
      </c>
      <c r="I37" s="14">
        <v>0</v>
      </c>
      <c r="J37" s="15">
        <v>0</v>
      </c>
      <c r="K37" s="15">
        <v>0</v>
      </c>
      <c r="L37" s="15">
        <v>0</v>
      </c>
      <c r="M37" s="15">
        <v>0</v>
      </c>
      <c r="N37" s="15">
        <f t="shared" si="6"/>
        <v>2250</v>
      </c>
      <c r="O37" s="16">
        <f t="shared" ref="O37:O38" si="9">SUM(G37:N37)</f>
        <v>3150</v>
      </c>
      <c r="P37" s="17">
        <f t="shared" ref="P37:P38" si="10">SUM(F37-O37)</f>
        <v>11850</v>
      </c>
      <c r="Q37" s="18">
        <v>0</v>
      </c>
    </row>
    <row r="38" spans="1:17" x14ac:dyDescent="0.25">
      <c r="A38" s="22" t="s">
        <v>15</v>
      </c>
      <c r="B38" s="66"/>
      <c r="C38" s="67"/>
      <c r="D38" s="10">
        <f>1800+1800+1800+1800</f>
        <v>7200</v>
      </c>
      <c r="E38" s="11">
        <v>0</v>
      </c>
      <c r="F38" s="12">
        <f>D38+E38</f>
        <v>7200</v>
      </c>
      <c r="G38" s="13">
        <f>SUM(F38*0.06)</f>
        <v>432</v>
      </c>
      <c r="H38" s="13">
        <v>0</v>
      </c>
      <c r="I38" s="14">
        <v>0</v>
      </c>
      <c r="J38" s="15">
        <v>0</v>
      </c>
      <c r="K38" s="15">
        <v>0</v>
      </c>
      <c r="L38" s="15">
        <v>0</v>
      </c>
      <c r="M38" s="15">
        <v>0</v>
      </c>
      <c r="N38" s="15">
        <f t="shared" si="6"/>
        <v>1080</v>
      </c>
      <c r="O38" s="16">
        <f t="shared" si="9"/>
        <v>1512</v>
      </c>
      <c r="P38" s="17">
        <f t="shared" si="10"/>
        <v>5688</v>
      </c>
      <c r="Q38" s="18">
        <v>0</v>
      </c>
    </row>
    <row r="39" spans="1:17" x14ac:dyDescent="0.25">
      <c r="A39" s="19" t="s">
        <v>8</v>
      </c>
      <c r="B39" s="19"/>
      <c r="C39" s="19"/>
      <c r="D39" s="23">
        <f>SUM(D25:D38)</f>
        <v>730496</v>
      </c>
      <c r="E39" s="23">
        <f>SUM(E25:E38)</f>
        <v>244049.61000000002</v>
      </c>
      <c r="F39" s="24">
        <f>SUM(F24:F38)</f>
        <v>861587.30999999994</v>
      </c>
      <c r="G39" s="23">
        <f t="shared" ref="G39:O39" si="11">SUM(G25:G38)</f>
        <v>87043.104899999991</v>
      </c>
      <c r="H39" s="23">
        <f t="shared" si="11"/>
        <v>65631.999999999985</v>
      </c>
      <c r="I39" s="23">
        <f t="shared" si="11"/>
        <v>210734.40000000005</v>
      </c>
      <c r="J39" s="23">
        <f t="shared" si="11"/>
        <v>307795</v>
      </c>
      <c r="K39" s="23">
        <f t="shared" si="11"/>
        <v>110261.75999999997</v>
      </c>
      <c r="L39" s="23">
        <f t="shared" si="11"/>
        <v>184147.20000000001</v>
      </c>
      <c r="M39" s="23">
        <f t="shared" si="11"/>
        <v>18000</v>
      </c>
      <c r="N39" s="23">
        <f t="shared" si="11"/>
        <v>146181.84150000001</v>
      </c>
      <c r="O39" s="23">
        <f t="shared" si="11"/>
        <v>1129795.3064000001</v>
      </c>
      <c r="P39" s="65">
        <f>F39-O39</f>
        <v>-268207.99640000018</v>
      </c>
      <c r="Q39" s="20">
        <v>0</v>
      </c>
    </row>
    <row r="41" spans="1:17" x14ac:dyDescent="0.25">
      <c r="D41" t="s">
        <v>47</v>
      </c>
      <c r="E41" t="s">
        <v>48</v>
      </c>
      <c r="F41" t="s">
        <v>49</v>
      </c>
    </row>
    <row r="42" spans="1:17" x14ac:dyDescent="0.25">
      <c r="D42" t="s">
        <v>14</v>
      </c>
      <c r="E42" t="s">
        <v>50</v>
      </c>
      <c r="F42" t="s">
        <v>51</v>
      </c>
    </row>
    <row r="43" spans="1:17" x14ac:dyDescent="0.25">
      <c r="D43" t="s">
        <v>20</v>
      </c>
      <c r="E43" t="s">
        <v>52</v>
      </c>
      <c r="F43" t="s">
        <v>53</v>
      </c>
    </row>
    <row r="44" spans="1:17" x14ac:dyDescent="0.25">
      <c r="E44" t="s">
        <v>54</v>
      </c>
      <c r="F44" t="s">
        <v>55</v>
      </c>
    </row>
    <row r="45" spans="1:17" x14ac:dyDescent="0.25">
      <c r="D45" t="s">
        <v>21</v>
      </c>
      <c r="E45" t="s">
        <v>56</v>
      </c>
      <c r="F45" t="s">
        <v>57</v>
      </c>
    </row>
    <row r="46" spans="1:17" x14ac:dyDescent="0.25">
      <c r="E46" t="s">
        <v>58</v>
      </c>
      <c r="F46" t="s">
        <v>26</v>
      </c>
    </row>
    <row r="47" spans="1:17" x14ac:dyDescent="0.25">
      <c r="E47" t="s">
        <v>59</v>
      </c>
      <c r="F47" t="s">
        <v>60</v>
      </c>
    </row>
    <row r="48" spans="1:17" x14ac:dyDescent="0.25">
      <c r="E48" t="s">
        <v>18</v>
      </c>
      <c r="F48" t="s">
        <v>19</v>
      </c>
    </row>
    <row r="49" spans="4:16" x14ac:dyDescent="0.25">
      <c r="D49" t="s">
        <v>22</v>
      </c>
      <c r="E49" t="s">
        <v>61</v>
      </c>
      <c r="F49" t="s">
        <v>62</v>
      </c>
    </row>
    <row r="50" spans="4:16" x14ac:dyDescent="0.25">
      <c r="E50" t="s">
        <v>17</v>
      </c>
      <c r="F50" t="s">
        <v>63</v>
      </c>
    </row>
    <row r="51" spans="4:16" x14ac:dyDescent="0.25">
      <c r="E51" t="s">
        <v>64</v>
      </c>
      <c r="F51" t="s">
        <v>65</v>
      </c>
    </row>
    <row r="52" spans="4:16" x14ac:dyDescent="0.25">
      <c r="D52" t="s">
        <v>24</v>
      </c>
      <c r="E52" t="s">
        <v>66</v>
      </c>
      <c r="F52" t="s">
        <v>67</v>
      </c>
    </row>
    <row r="55" spans="4:16" x14ac:dyDescent="0.25">
      <c r="F55" s="36" t="s">
        <v>10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</row>
  </sheetData>
  <mergeCells count="39">
    <mergeCell ref="A21:Q21"/>
    <mergeCell ref="D22:F22"/>
    <mergeCell ref="K22:N22"/>
    <mergeCell ref="G22:G24"/>
    <mergeCell ref="A31:B31"/>
    <mergeCell ref="A30:B30"/>
    <mergeCell ref="H22:H24"/>
    <mergeCell ref="I22:I24"/>
    <mergeCell ref="Q22:Q23"/>
    <mergeCell ref="P22:P24"/>
    <mergeCell ref="A14:D14"/>
    <mergeCell ref="K23:K24"/>
    <mergeCell ref="A5:D5"/>
    <mergeCell ref="A6:D6"/>
    <mergeCell ref="A16:D16"/>
    <mergeCell ref="A7:D7"/>
    <mergeCell ref="A8:D8"/>
    <mergeCell ref="A9:D9"/>
    <mergeCell ref="A10:D10"/>
    <mergeCell ref="A11:D11"/>
    <mergeCell ref="A12:D12"/>
    <mergeCell ref="A13:D13"/>
    <mergeCell ref="A15:D15"/>
    <mergeCell ref="A3:Q3"/>
    <mergeCell ref="A4:D4"/>
    <mergeCell ref="E4:G4"/>
    <mergeCell ref="H4:J4"/>
    <mergeCell ref="K4:M4"/>
    <mergeCell ref="A34:B34"/>
    <mergeCell ref="A32:B32"/>
    <mergeCell ref="J22:J24"/>
    <mergeCell ref="A33:B33"/>
    <mergeCell ref="F55:P55"/>
    <mergeCell ref="L23:L24"/>
    <mergeCell ref="O22:O24"/>
    <mergeCell ref="M23:M24"/>
    <mergeCell ref="N23:N24"/>
    <mergeCell ref="A35:B35"/>
    <mergeCell ref="A36:B36"/>
  </mergeCells>
  <pageMargins left="5.2083333333333336E-2" right="0.23958333333333334" top="0.75" bottom="0.75" header="0.3" footer="0.3"/>
  <pageSetup paperSize="9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2016-02-03T04:46:34Z</dcterms:modified>
</cp:coreProperties>
</file>