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2225" windowHeight="4875" activeTab="0"/>
  </bookViews>
  <sheets>
    <sheet name="2015" sheetId="1" r:id="rId1"/>
  </sheets>
  <definedNames>
    <definedName name="_xlnm.Print_Area" localSheetId="0">'2015'!$A$1:$Q$42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L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2287,58р-потеря теплоносителя</t>
        </r>
      </text>
    </comment>
    <comment ref="L3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2000р-замена 2-х батареек на теплосчетчике</t>
        </r>
      </text>
    </comment>
    <comment ref="L3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4500р-ремонт щелей отмостки</t>
        </r>
      </text>
    </comment>
    <comment ref="I3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1000р премия разово+налоги</t>
        </r>
      </text>
    </comment>
  </commentList>
</comments>
</file>

<file path=xl/sharedStrings.xml><?xml version="1.0" encoding="utf-8"?>
<sst xmlns="http://schemas.openxmlformats.org/spreadsheetml/2006/main" count="68" uniqueCount="49">
  <si>
    <t xml:space="preserve">Поступило </t>
  </si>
  <si>
    <t>Площадь</t>
  </si>
  <si>
    <t xml:space="preserve">Кол-во </t>
  </si>
  <si>
    <t>Расходы</t>
  </si>
  <si>
    <t>Содержание</t>
  </si>
  <si>
    <t>июль</t>
  </si>
  <si>
    <t>кв</t>
  </si>
  <si>
    <t>содер</t>
  </si>
  <si>
    <t>рем</t>
  </si>
  <si>
    <t>итого</t>
  </si>
  <si>
    <t>август</t>
  </si>
  <si>
    <t>апрель</t>
  </si>
  <si>
    <t>май</t>
  </si>
  <si>
    <t>июнь</t>
  </si>
  <si>
    <t>ит</t>
  </si>
  <si>
    <t>февраль</t>
  </si>
  <si>
    <t>январь</t>
  </si>
  <si>
    <t>Остаток</t>
  </si>
  <si>
    <t>Ген. директор ООО "Георгиевск - ЖЭУ"                                                              Никишина И.М.</t>
  </si>
  <si>
    <t>сентябрь</t>
  </si>
  <si>
    <t>ростелеком</t>
  </si>
  <si>
    <t>октябрь</t>
  </si>
  <si>
    <t>ноябрь</t>
  </si>
  <si>
    <t>декабрь</t>
  </si>
  <si>
    <t>март</t>
  </si>
  <si>
    <t>Учет доходов и расходов по Калинина 131 А на 2015 год</t>
  </si>
  <si>
    <t>2287,58р</t>
  </si>
  <si>
    <t>потеря теплоносителя</t>
  </si>
  <si>
    <t>Доходы и расходы по воде и стокам</t>
  </si>
  <si>
    <t>Вода</t>
  </si>
  <si>
    <t>Вода ОДН</t>
  </si>
  <si>
    <t xml:space="preserve">начислено </t>
  </si>
  <si>
    <t xml:space="preserve">оплачено </t>
  </si>
  <si>
    <t>долг</t>
  </si>
  <si>
    <t>Итого</t>
  </si>
  <si>
    <t>Оплата банковских услуг и услуг ЕРКЦ</t>
  </si>
  <si>
    <t>Затраты по управлению</t>
  </si>
  <si>
    <t>Содержание придомовой территории</t>
  </si>
  <si>
    <t>Текущий ремонт</t>
  </si>
  <si>
    <t>аварийно-диспетчерское обслуживание</t>
  </si>
  <si>
    <t>Проф. обходы и осмотры, разное</t>
  </si>
  <si>
    <t>Обслуживание приборов учета</t>
  </si>
  <si>
    <t>Общие эксплутационные расходы</t>
  </si>
  <si>
    <t>Капитальный ремонт</t>
  </si>
  <si>
    <t>Стоки ХВС,ГВС</t>
  </si>
  <si>
    <t>2000р</t>
  </si>
  <si>
    <t>замена 2-х батареее на теплосчетчике</t>
  </si>
  <si>
    <t>4500р</t>
  </si>
  <si>
    <t>ремонт щелей отмостки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</si>
</sst>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#,##0.000_р_."/>
    <numFmt numFmtId="167" formatCode="0.0000"/>
    <numFmt numFmtId="168" formatCode="#,##0.0_р_."/>
    <numFmt numFmtId="169" formatCode="#,##0_р_.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164" fontId="1" fillId="32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64" fontId="1" fillId="4" borderId="10" xfId="0" applyNumberFormat="1" applyFont="1" applyFill="1" applyBorder="1" applyAlignment="1">
      <alignment/>
    </xf>
    <xf numFmtId="164" fontId="1" fillId="4" borderId="10" xfId="0" applyNumberFormat="1" applyFont="1" applyFill="1" applyBorder="1" applyAlignment="1">
      <alignment horizontal="center"/>
    </xf>
    <xf numFmtId="164" fontId="1" fillId="32" borderId="10" xfId="0" applyNumberFormat="1" applyFont="1" applyFill="1" applyBorder="1" applyAlignment="1">
      <alignment/>
    </xf>
    <xf numFmtId="164" fontId="1" fillId="32" borderId="10" xfId="0" applyNumberFormat="1" applyFont="1" applyFill="1" applyBorder="1" applyAlignment="1">
      <alignment horizontal="center"/>
    </xf>
    <xf numFmtId="164" fontId="1" fillId="32" borderId="10" xfId="0" applyNumberFormat="1" applyFont="1" applyFill="1" applyBorder="1" applyAlignment="1">
      <alignment horizontal="right"/>
    </xf>
    <xf numFmtId="0" fontId="5" fillId="4" borderId="0" xfId="0" applyFont="1" applyFill="1" applyAlignment="1">
      <alignment horizontal="center"/>
    </xf>
    <xf numFmtId="0" fontId="1" fillId="4" borderId="0" xfId="0" applyFont="1" applyFill="1" applyAlignment="1">
      <alignment/>
    </xf>
    <xf numFmtId="2" fontId="1" fillId="0" borderId="13" xfId="0" applyNumberFormat="1" applyFont="1" applyBorder="1" applyAlignment="1">
      <alignment/>
    </xf>
    <xf numFmtId="164" fontId="1" fillId="4" borderId="14" xfId="0" applyNumberFormat="1" applyFont="1" applyFill="1" applyBorder="1" applyAlignment="1">
      <alignment horizontal="center"/>
    </xf>
    <xf numFmtId="2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164" fontId="1" fillId="5" borderId="10" xfId="0" applyNumberFormat="1" applyFont="1" applyFill="1" applyBorder="1" applyAlignment="1">
      <alignment/>
    </xf>
    <xf numFmtId="0" fontId="1" fillId="3" borderId="10" xfId="0" applyFont="1" applyFill="1" applyBorder="1" applyAlignment="1">
      <alignment/>
    </xf>
    <xf numFmtId="164" fontId="1" fillId="5" borderId="16" xfId="0" applyNumberFormat="1" applyFont="1" applyFill="1" applyBorder="1" applyAlignment="1">
      <alignment/>
    </xf>
    <xf numFmtId="0" fontId="0" fillId="5" borderId="10" xfId="0" applyFill="1" applyBorder="1" applyAlignment="1">
      <alignment/>
    </xf>
    <xf numFmtId="2" fontId="1" fillId="5" borderId="10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/>
    </xf>
    <xf numFmtId="2" fontId="4" fillId="0" borderId="15" xfId="0" applyNumberFormat="1" applyFont="1" applyBorder="1" applyAlignment="1">
      <alignment/>
    </xf>
    <xf numFmtId="6" fontId="0" fillId="0" borderId="0" xfId="0" applyNumberFormat="1" applyAlignment="1">
      <alignment/>
    </xf>
    <xf numFmtId="0" fontId="4" fillId="5" borderId="17" xfId="0" applyFont="1" applyFill="1" applyBorder="1" applyAlignment="1">
      <alignment/>
    </xf>
    <xf numFmtId="0" fontId="6" fillId="0" borderId="0" xfId="0" applyFont="1" applyAlignment="1">
      <alignment/>
    </xf>
    <xf numFmtId="0" fontId="1" fillId="33" borderId="18" xfId="0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17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2" fontId="0" fillId="6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1" fillId="0" borderId="24" xfId="0" applyNumberFormat="1" applyFont="1" applyBorder="1" applyAlignment="1">
      <alignment horizontal="center" vertical="top" wrapText="1"/>
    </xf>
    <xf numFmtId="2" fontId="1" fillId="0" borderId="25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43"/>
  <sheetViews>
    <sheetView tabSelected="1" workbookViewId="0" topLeftCell="A1">
      <selection activeCell="F21" sqref="F21"/>
    </sheetView>
  </sheetViews>
  <sheetFormatPr defaultColWidth="9.00390625" defaultRowHeight="12.75"/>
  <cols>
    <col min="1" max="1" width="5.875" style="0" customWidth="1"/>
    <col min="2" max="2" width="3.25390625" style="0" customWidth="1"/>
    <col min="3" max="3" width="3.75390625" style="0" customWidth="1"/>
    <col min="4" max="4" width="10.00390625" style="0" customWidth="1"/>
    <col min="5" max="5" width="9.75390625" style="0" customWidth="1"/>
    <col min="7" max="7" width="9.625" style="0" customWidth="1"/>
    <col min="9" max="9" width="10.125" style="0" customWidth="1"/>
    <col min="15" max="15" width="10.00390625" style="0" customWidth="1"/>
    <col min="17" max="17" width="10.625" style="0" customWidth="1"/>
  </cols>
  <sheetData>
    <row r="1" spans="1:17" ht="12.75">
      <c r="A1" s="68" t="s">
        <v>28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3" ht="12.75">
      <c r="A2" s="55"/>
      <c r="B2" s="55"/>
      <c r="C2" s="55"/>
      <c r="D2" s="55"/>
      <c r="E2" s="69" t="s">
        <v>29</v>
      </c>
      <c r="F2" s="69"/>
      <c r="G2" s="69"/>
      <c r="H2" s="70" t="s">
        <v>44</v>
      </c>
      <c r="I2" s="70"/>
      <c r="J2" s="70"/>
      <c r="K2" s="71" t="s">
        <v>30</v>
      </c>
      <c r="L2" s="71"/>
      <c r="M2" s="71"/>
    </row>
    <row r="3" spans="1:13" ht="12.75">
      <c r="A3" s="55"/>
      <c r="B3" s="55"/>
      <c r="C3" s="55"/>
      <c r="D3" s="55"/>
      <c r="E3" s="40" t="s">
        <v>31</v>
      </c>
      <c r="F3" s="40" t="s">
        <v>32</v>
      </c>
      <c r="G3" s="40" t="s">
        <v>33</v>
      </c>
      <c r="H3" s="41" t="s">
        <v>31</v>
      </c>
      <c r="I3" s="41" t="s">
        <v>32</v>
      </c>
      <c r="J3" s="41" t="s">
        <v>33</v>
      </c>
      <c r="K3" s="42" t="s">
        <v>31</v>
      </c>
      <c r="L3" s="42" t="s">
        <v>32</v>
      </c>
      <c r="M3" s="42" t="s">
        <v>33</v>
      </c>
    </row>
    <row r="4" spans="1:13" ht="12.75">
      <c r="A4" s="52" t="s">
        <v>24</v>
      </c>
      <c r="B4" s="52"/>
      <c r="C4" s="52"/>
      <c r="D4" s="52"/>
      <c r="E4" s="43">
        <v>7229.12</v>
      </c>
      <c r="F4" s="43">
        <v>0</v>
      </c>
      <c r="G4" s="43">
        <f>E4-F4</f>
        <v>7229.12</v>
      </c>
      <c r="H4" s="44">
        <f>3799.88+3545.01</f>
        <v>7344.89</v>
      </c>
      <c r="I4" s="44">
        <v>0</v>
      </c>
      <c r="J4" s="44">
        <f>H4-I4</f>
        <v>7344.89</v>
      </c>
      <c r="K4" s="45">
        <v>1146.07</v>
      </c>
      <c r="L4" s="45">
        <v>0</v>
      </c>
      <c r="M4" s="45">
        <f>K4-L4</f>
        <v>1146.07</v>
      </c>
    </row>
    <row r="5" spans="1:13" ht="12.75">
      <c r="A5" s="56" t="s">
        <v>11</v>
      </c>
      <c r="B5" s="56"/>
      <c r="C5" s="56"/>
      <c r="D5" s="53"/>
      <c r="E5" s="43">
        <v>9168.64</v>
      </c>
      <c r="F5" s="43">
        <f>4981.04+837.52</f>
        <v>5818.5599999999995</v>
      </c>
      <c r="G5" s="43">
        <f aca="true" t="shared" si="0" ref="G5:G13">E5-F5</f>
        <v>3350.08</v>
      </c>
      <c r="H5" s="44">
        <f>4819.36+3707.2</f>
        <v>8526.56</v>
      </c>
      <c r="I5" s="44">
        <f>2687.72+440.23+1251.18+463.4</f>
        <v>4842.53</v>
      </c>
      <c r="J5" s="44">
        <f aca="true" t="shared" si="1" ref="J5:J13">H5-I5</f>
        <v>3684.0299999999997</v>
      </c>
      <c r="K5" s="45">
        <v>1454.67</v>
      </c>
      <c r="L5" s="45">
        <f>713.65+117.24</f>
        <v>830.89</v>
      </c>
      <c r="M5" s="45">
        <f aca="true" t="shared" si="2" ref="M5:M13">K5-L5</f>
        <v>623.7800000000001</v>
      </c>
    </row>
    <row r="6" spans="1:13" ht="12.75">
      <c r="A6" s="56" t="s">
        <v>12</v>
      </c>
      <c r="B6" s="56"/>
      <c r="C6" s="56"/>
      <c r="D6" s="53"/>
      <c r="E6" s="43">
        <v>8505.68</v>
      </c>
      <c r="F6" s="43">
        <f>6303.44+1763.2</f>
        <v>8066.639999999999</v>
      </c>
      <c r="G6" s="43">
        <f t="shared" si="0"/>
        <v>439.0400000000009</v>
      </c>
      <c r="H6" s="44">
        <f>4470.88+3541.77</f>
        <v>8012.65</v>
      </c>
      <c r="I6" s="44">
        <f>3243.8+926.8+3684.03+787.78</f>
        <v>8642.410000000002</v>
      </c>
      <c r="J6" s="44">
        <f t="shared" si="1"/>
        <v>-629.760000000002</v>
      </c>
      <c r="K6" s="45">
        <v>1191.92</v>
      </c>
      <c r="L6" s="45">
        <f>999.84+306.35</f>
        <v>1306.19</v>
      </c>
      <c r="M6" s="45">
        <f t="shared" si="2"/>
        <v>-114.26999999999998</v>
      </c>
    </row>
    <row r="7" spans="1:13" ht="12.75">
      <c r="A7" s="56" t="s">
        <v>13</v>
      </c>
      <c r="B7" s="56"/>
      <c r="C7" s="56"/>
      <c r="D7" s="53"/>
      <c r="E7" s="43">
        <v>10138.4</v>
      </c>
      <c r="F7" s="43">
        <f>6301.68+2424.4+132.24</f>
        <v>8858.32</v>
      </c>
      <c r="G7" s="43">
        <f t="shared" si="0"/>
        <v>1280.08</v>
      </c>
      <c r="H7" s="44">
        <f>5329.1+2652.96</f>
        <v>7982.06</v>
      </c>
      <c r="I7" s="44">
        <f>3289.21+1274.35+69.51+2499.12+1042.65+46.34</f>
        <v>8221.18</v>
      </c>
      <c r="J7" s="44">
        <f t="shared" si="1"/>
        <v>-239.1199999999999</v>
      </c>
      <c r="K7" s="45">
        <v>3394.19</v>
      </c>
      <c r="L7" s="45">
        <f>794.67+373.38+53.77</f>
        <v>1221.82</v>
      </c>
      <c r="M7" s="45">
        <f t="shared" si="2"/>
        <v>2172.37</v>
      </c>
    </row>
    <row r="8" spans="1:13" ht="12.75">
      <c r="A8" s="56" t="s">
        <v>5</v>
      </c>
      <c r="B8" s="56"/>
      <c r="C8" s="56"/>
      <c r="D8" s="53"/>
      <c r="E8" s="43">
        <v>10975.92</v>
      </c>
      <c r="F8" s="43">
        <f>6968.7+2380.32</f>
        <v>9349.02</v>
      </c>
      <c r="G8" s="43">
        <f t="shared" si="0"/>
        <v>1626.8999999999996</v>
      </c>
      <c r="H8" s="44">
        <f>5720.52+3035.89</f>
        <v>8756.41</v>
      </c>
      <c r="I8" s="44">
        <f>3616.44+1251.18+1913.44+671.93</f>
        <v>7452.99</v>
      </c>
      <c r="J8" s="44">
        <f t="shared" si="1"/>
        <v>1303.42</v>
      </c>
      <c r="K8" s="45">
        <v>1155.41</v>
      </c>
      <c r="L8" s="45">
        <f>2060.79+680.59</f>
        <v>2741.38</v>
      </c>
      <c r="M8" s="45">
        <f t="shared" si="2"/>
        <v>-1585.97</v>
      </c>
    </row>
    <row r="9" spans="1:13" ht="12.75">
      <c r="A9" s="56" t="s">
        <v>10</v>
      </c>
      <c r="B9" s="56"/>
      <c r="C9" s="56"/>
      <c r="D9" s="53"/>
      <c r="E9" s="43">
        <v>12420.12</v>
      </c>
      <c r="F9" s="43">
        <f>7312.64+2872.16+1222.64</f>
        <v>11407.439999999999</v>
      </c>
      <c r="G9" s="43">
        <f t="shared" si="0"/>
        <v>1012.6800000000021</v>
      </c>
      <c r="H9" s="44">
        <f>6473.22+3462.42</f>
        <v>9935.64</v>
      </c>
      <c r="I9" s="44">
        <f>3813.81+1544.06+1135.2+2173.23+544.3</f>
        <v>9210.599999999999</v>
      </c>
      <c r="J9" s="44">
        <f t="shared" si="1"/>
        <v>725.0400000000009</v>
      </c>
      <c r="K9" s="45">
        <v>2166.29</v>
      </c>
      <c r="L9" s="45">
        <f>989.1+369.49+180.63</f>
        <v>1539.2200000000003</v>
      </c>
      <c r="M9" s="45">
        <f t="shared" si="2"/>
        <v>627.0699999999997</v>
      </c>
    </row>
    <row r="10" spans="1:13" ht="12.75">
      <c r="A10" s="56" t="s">
        <v>19</v>
      </c>
      <c r="B10" s="56"/>
      <c r="C10" s="56"/>
      <c r="D10" s="53"/>
      <c r="E10" s="43">
        <v>11168.48</v>
      </c>
      <c r="F10" s="43">
        <f>9074.1+3091.98</f>
        <v>12166.08</v>
      </c>
      <c r="G10" s="43">
        <f t="shared" si="0"/>
        <v>-997.6000000000004</v>
      </c>
      <c r="H10" s="44">
        <f>5820.88+3537.69</f>
        <v>9358.57</v>
      </c>
      <c r="I10" s="44">
        <f>4753.66+1615.62+2507.97+1071.32</f>
        <v>9948.57</v>
      </c>
      <c r="J10" s="44">
        <f t="shared" si="1"/>
        <v>-590</v>
      </c>
      <c r="K10" s="45">
        <v>962.8</v>
      </c>
      <c r="L10" s="45">
        <f>1610.01+550.2</f>
        <v>2160.21</v>
      </c>
      <c r="M10" s="45">
        <f t="shared" si="2"/>
        <v>-1197.41</v>
      </c>
    </row>
    <row r="11" spans="1:13" ht="12.75">
      <c r="A11" s="56" t="s">
        <v>21</v>
      </c>
      <c r="B11" s="56"/>
      <c r="C11" s="56"/>
      <c r="D11" s="53"/>
      <c r="E11" s="43">
        <v>10013.12</v>
      </c>
      <c r="F11" s="43">
        <f>8424.5+3847.14+625.82</f>
        <v>12897.46</v>
      </c>
      <c r="G11" s="43">
        <f t="shared" si="0"/>
        <v>-2884.3399999999983</v>
      </c>
      <c r="H11" s="44">
        <f>5218.72+3763.5</f>
        <v>8982.220000000001</v>
      </c>
      <c r="I11" s="44">
        <f>4390.75+2005.28+694.97+2584.27+1051.86</f>
        <v>10727.130000000001</v>
      </c>
      <c r="J11" s="44">
        <f t="shared" si="1"/>
        <v>-1744.9099999999999</v>
      </c>
      <c r="K11" s="45">
        <v>1299.73</v>
      </c>
      <c r="L11" s="45">
        <f>786.44+391.79+67.88</f>
        <v>1246.1100000000001</v>
      </c>
      <c r="M11" s="45">
        <f t="shared" si="2"/>
        <v>53.61999999999989</v>
      </c>
    </row>
    <row r="12" spans="1:13" ht="12.75">
      <c r="A12" s="56" t="s">
        <v>22</v>
      </c>
      <c r="B12" s="56"/>
      <c r="C12" s="56"/>
      <c r="D12" s="53"/>
      <c r="E12" s="43">
        <v>10109.4</v>
      </c>
      <c r="F12" s="43">
        <f>6432.52+2792.12+192.56</f>
        <v>9417.199999999999</v>
      </c>
      <c r="G12" s="43">
        <f t="shared" si="0"/>
        <v>692.2000000000007</v>
      </c>
      <c r="H12" s="44">
        <f>5268.9+3562.78</f>
        <v>8831.68</v>
      </c>
      <c r="I12" s="44">
        <f>3354.38+1471.7+745.15+2402.88+1179.23</f>
        <v>9153.34</v>
      </c>
      <c r="J12" s="44">
        <f t="shared" si="1"/>
        <v>-321.65999999999985</v>
      </c>
      <c r="K12" s="45">
        <v>1829.32</v>
      </c>
      <c r="L12" s="45">
        <f>1016.98+557.92+28.4</f>
        <v>1603.3000000000002</v>
      </c>
      <c r="M12" s="45">
        <f t="shared" si="2"/>
        <v>226.01999999999975</v>
      </c>
    </row>
    <row r="13" spans="1:13" ht="12.75">
      <c r="A13" s="56" t="s">
        <v>23</v>
      </c>
      <c r="B13" s="56"/>
      <c r="C13" s="56"/>
      <c r="D13" s="53"/>
      <c r="E13" s="43">
        <v>10542.66</v>
      </c>
      <c r="F13" s="43">
        <f>7846.82+2984.68</f>
        <v>10831.5</v>
      </c>
      <c r="G13" s="43">
        <f t="shared" si="0"/>
        <v>-288.84000000000015</v>
      </c>
      <c r="H13" s="44">
        <f>5494.71+3198.98</f>
        <v>8693.69</v>
      </c>
      <c r="I13" s="44">
        <f>4089.67+1430.13+2659.54+1874.2</f>
        <v>10053.54</v>
      </c>
      <c r="J13" s="44">
        <f t="shared" si="1"/>
        <v>-1359.8500000000004</v>
      </c>
      <c r="K13" s="45">
        <v>1877.44</v>
      </c>
      <c r="L13" s="45">
        <f>1302.16+517.03</f>
        <v>1819.19</v>
      </c>
      <c r="M13" s="45">
        <f t="shared" si="2"/>
        <v>58.25</v>
      </c>
    </row>
    <row r="14" spans="1:13" ht="12.75">
      <c r="A14" s="59" t="s">
        <v>34</v>
      </c>
      <c r="B14" s="59"/>
      <c r="C14" s="59"/>
      <c r="D14" s="59"/>
      <c r="E14" s="46">
        <f aca="true" t="shared" si="3" ref="E14:M14">SUM(E4:E13)</f>
        <v>100271.54</v>
      </c>
      <c r="F14" s="46">
        <f t="shared" si="3"/>
        <v>88812.21999999999</v>
      </c>
      <c r="G14" s="46">
        <f t="shared" si="3"/>
        <v>11459.320000000005</v>
      </c>
      <c r="H14" s="46">
        <f t="shared" si="3"/>
        <v>86424.37</v>
      </c>
      <c r="I14" s="46">
        <f t="shared" si="3"/>
        <v>78252.29000000001</v>
      </c>
      <c r="J14" s="46">
        <f t="shared" si="3"/>
        <v>8172.079999999998</v>
      </c>
      <c r="K14" s="46">
        <f t="shared" si="3"/>
        <v>16477.839999999997</v>
      </c>
      <c r="L14" s="46">
        <f t="shared" si="3"/>
        <v>14468.31</v>
      </c>
      <c r="M14" s="46">
        <f t="shared" si="3"/>
        <v>2009.5299999999988</v>
      </c>
    </row>
    <row r="18" spans="1:17" ht="12.75">
      <c r="A18" s="54" t="s">
        <v>25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14"/>
      <c r="Q18" s="15"/>
    </row>
    <row r="19" spans="1:17" ht="40.5" customHeight="1">
      <c r="A19" s="2"/>
      <c r="B19" s="4" t="s">
        <v>1</v>
      </c>
      <c r="C19" s="5" t="s">
        <v>2</v>
      </c>
      <c r="D19" s="49" t="s">
        <v>0</v>
      </c>
      <c r="E19" s="50"/>
      <c r="F19" s="51"/>
      <c r="G19" s="72" t="s">
        <v>35</v>
      </c>
      <c r="H19" s="57" t="s">
        <v>36</v>
      </c>
      <c r="I19" s="57" t="s">
        <v>37</v>
      </c>
      <c r="J19" s="57" t="s">
        <v>38</v>
      </c>
      <c r="K19" s="48" t="s">
        <v>4</v>
      </c>
      <c r="L19" s="48"/>
      <c r="M19" s="48"/>
      <c r="N19" s="48"/>
      <c r="O19" s="60" t="s">
        <v>3</v>
      </c>
      <c r="P19" s="63" t="s">
        <v>17</v>
      </c>
      <c r="Q19" s="66" t="s">
        <v>43</v>
      </c>
    </row>
    <row r="20" spans="1:17" ht="42.75" customHeight="1" thickBot="1">
      <c r="A20" s="2"/>
      <c r="B20" s="6"/>
      <c r="C20" s="7" t="s">
        <v>6</v>
      </c>
      <c r="D20" s="7" t="s">
        <v>7</v>
      </c>
      <c r="E20" s="7" t="s">
        <v>8</v>
      </c>
      <c r="F20" s="7" t="s">
        <v>9</v>
      </c>
      <c r="G20" s="73"/>
      <c r="H20" s="75"/>
      <c r="I20" s="75"/>
      <c r="J20" s="75"/>
      <c r="K20" s="57" t="s">
        <v>39</v>
      </c>
      <c r="L20" s="57" t="s">
        <v>40</v>
      </c>
      <c r="M20" s="57" t="s">
        <v>41</v>
      </c>
      <c r="N20" s="57" t="s">
        <v>42</v>
      </c>
      <c r="O20" s="61"/>
      <c r="P20" s="64"/>
      <c r="Q20" s="67"/>
    </row>
    <row r="21" spans="1:17" ht="13.5" thickBot="1">
      <c r="A21" s="2"/>
      <c r="B21" s="6">
        <v>2894.75</v>
      </c>
      <c r="C21" s="7"/>
      <c r="D21" s="7"/>
      <c r="E21" s="16"/>
      <c r="F21" s="18">
        <v>-10920.82</v>
      </c>
      <c r="G21" s="74"/>
      <c r="H21" s="58"/>
      <c r="I21" s="58"/>
      <c r="J21" s="58"/>
      <c r="K21" s="58"/>
      <c r="L21" s="58"/>
      <c r="M21" s="58"/>
      <c r="N21" s="58"/>
      <c r="O21" s="62"/>
      <c r="P21" s="65"/>
      <c r="Q21" s="19">
        <v>0</v>
      </c>
    </row>
    <row r="22" spans="1:17" ht="12.75">
      <c r="A22" s="2" t="s">
        <v>16</v>
      </c>
      <c r="B22" s="2"/>
      <c r="C22" s="8"/>
      <c r="D22" s="9">
        <f>10133.95+1300.6+361.9</f>
        <v>11796.45</v>
      </c>
      <c r="E22" s="10">
        <f>4498.2+557.4+155.1</f>
        <v>5210.7</v>
      </c>
      <c r="F22" s="17">
        <f aca="true" t="shared" si="4" ref="F22:F34">SUM(D22:E22)</f>
        <v>17007.15</v>
      </c>
      <c r="G22" s="11">
        <f aca="true" t="shared" si="5" ref="G22:G33">SUM(F22*0.09)</f>
        <v>1530.6435000000001</v>
      </c>
      <c r="H22" s="11">
        <v>0</v>
      </c>
      <c r="I22" s="13">
        <v>5329</v>
      </c>
      <c r="J22" s="3">
        <v>0</v>
      </c>
      <c r="K22" s="3">
        <f>B21*1.4</f>
        <v>4052.6499999999996</v>
      </c>
      <c r="L22" s="3">
        <f>5328+2287.58</f>
        <v>7615.58</v>
      </c>
      <c r="M22" s="3">
        <v>1200</v>
      </c>
      <c r="N22" s="3">
        <f aca="true" t="shared" si="6" ref="N22:N34">SUM(F22*0.15)</f>
        <v>2551.0725</v>
      </c>
      <c r="O22" s="12">
        <f aca="true" t="shared" si="7" ref="O22:O34">SUM(G22:N22)</f>
        <v>22278.946000000004</v>
      </c>
      <c r="P22" s="25">
        <f aca="true" t="shared" si="8" ref="P22:P35">F22-O22</f>
        <v>-5271.796000000002</v>
      </c>
      <c r="Q22" s="31">
        <v>0</v>
      </c>
    </row>
    <row r="23" spans="1:17" ht="12.75">
      <c r="A23" s="2" t="s">
        <v>15</v>
      </c>
      <c r="B23" s="2"/>
      <c r="C23" s="8"/>
      <c r="D23" s="9">
        <f>15623.32+2008.3</f>
        <v>17631.62</v>
      </c>
      <c r="E23" s="10">
        <f>7109.64+860.7</f>
        <v>7970.34</v>
      </c>
      <c r="F23" s="17">
        <f t="shared" si="4"/>
        <v>25601.96</v>
      </c>
      <c r="G23" s="11">
        <f t="shared" si="5"/>
        <v>2304.1764</v>
      </c>
      <c r="H23" s="11">
        <v>0</v>
      </c>
      <c r="I23" s="13">
        <v>5329</v>
      </c>
      <c r="J23" s="3">
        <v>1120</v>
      </c>
      <c r="K23" s="3">
        <v>4052.65</v>
      </c>
      <c r="L23" s="3">
        <v>5328</v>
      </c>
      <c r="M23" s="3">
        <v>1200</v>
      </c>
      <c r="N23" s="3">
        <f t="shared" si="6"/>
        <v>3840.294</v>
      </c>
      <c r="O23" s="12">
        <f t="shared" si="7"/>
        <v>23174.1204</v>
      </c>
      <c r="P23" s="25">
        <f t="shared" si="8"/>
        <v>2427.8395999999993</v>
      </c>
      <c r="Q23" s="31">
        <v>0</v>
      </c>
    </row>
    <row r="24" spans="1:17" ht="12.75">
      <c r="A24" s="2" t="s">
        <v>24</v>
      </c>
      <c r="B24" s="2"/>
      <c r="C24" s="8"/>
      <c r="D24" s="9">
        <f>13664.1+4120.2</f>
        <v>17784.3</v>
      </c>
      <c r="E24" s="10">
        <f>6163.1+1765.9</f>
        <v>7929</v>
      </c>
      <c r="F24" s="17">
        <f t="shared" si="4"/>
        <v>25713.3</v>
      </c>
      <c r="G24" s="11">
        <f t="shared" si="5"/>
        <v>2314.1969999999997</v>
      </c>
      <c r="H24" s="11">
        <v>2894.75</v>
      </c>
      <c r="I24" s="13">
        <v>5329</v>
      </c>
      <c r="J24" s="3">
        <f>1574+2046</f>
        <v>3620</v>
      </c>
      <c r="K24" s="3">
        <v>4052.65</v>
      </c>
      <c r="L24" s="3">
        <v>5328</v>
      </c>
      <c r="M24" s="3">
        <v>1200</v>
      </c>
      <c r="N24" s="3">
        <f t="shared" si="6"/>
        <v>3856.995</v>
      </c>
      <c r="O24" s="12">
        <f t="shared" si="7"/>
        <v>28595.592</v>
      </c>
      <c r="P24" s="25">
        <f t="shared" si="8"/>
        <v>-2882.2920000000013</v>
      </c>
      <c r="Q24" s="31">
        <v>0</v>
      </c>
    </row>
    <row r="25" spans="1:17" ht="12.75">
      <c r="A25" s="2" t="s">
        <v>11</v>
      </c>
      <c r="B25" s="2"/>
      <c r="C25" s="8"/>
      <c r="D25" s="9">
        <f>11851.1+3690+1400</f>
        <v>16941.1</v>
      </c>
      <c r="E25" s="10">
        <f>4772.4+1453.5</f>
        <v>6225.9</v>
      </c>
      <c r="F25" s="17">
        <f t="shared" si="4"/>
        <v>23167</v>
      </c>
      <c r="G25" s="11">
        <f t="shared" si="5"/>
        <v>2085.0299999999997</v>
      </c>
      <c r="H25" s="11">
        <v>2894.75</v>
      </c>
      <c r="I25" s="13">
        <v>5329</v>
      </c>
      <c r="J25" s="3">
        <v>0</v>
      </c>
      <c r="K25" s="3">
        <v>4052.65</v>
      </c>
      <c r="L25" s="3">
        <v>5328</v>
      </c>
      <c r="M25" s="3">
        <v>1200</v>
      </c>
      <c r="N25" s="3">
        <f t="shared" si="6"/>
        <v>3475.0499999999997</v>
      </c>
      <c r="O25" s="12">
        <f t="shared" si="7"/>
        <v>24364.48</v>
      </c>
      <c r="P25" s="25">
        <f t="shared" si="8"/>
        <v>-1197.4799999999996</v>
      </c>
      <c r="Q25" s="31">
        <v>0</v>
      </c>
    </row>
    <row r="26" spans="1:17" ht="12.75">
      <c r="A26" s="2" t="s">
        <v>12</v>
      </c>
      <c r="B26" s="2"/>
      <c r="C26" s="8"/>
      <c r="D26" s="9">
        <f>27145.8+8451.23+3482.11</f>
        <v>39079.14</v>
      </c>
      <c r="E26" s="10">
        <f>10857.84+3156.9</f>
        <v>14014.74</v>
      </c>
      <c r="F26" s="17">
        <f t="shared" si="4"/>
        <v>53093.88</v>
      </c>
      <c r="G26" s="11">
        <f t="shared" si="5"/>
        <v>4778.4492</v>
      </c>
      <c r="H26" s="11">
        <v>2894.75</v>
      </c>
      <c r="I26" s="13">
        <v>5329</v>
      </c>
      <c r="J26" s="3">
        <f>14978+3706</f>
        <v>18684</v>
      </c>
      <c r="K26" s="3">
        <v>4052.65</v>
      </c>
      <c r="L26" s="3">
        <v>5328</v>
      </c>
      <c r="M26" s="3">
        <v>0</v>
      </c>
      <c r="N26" s="3">
        <f t="shared" si="6"/>
        <v>7964.081999999999</v>
      </c>
      <c r="O26" s="12">
        <f t="shared" si="7"/>
        <v>49030.9312</v>
      </c>
      <c r="P26" s="25">
        <f t="shared" si="8"/>
        <v>4062.9487999999983</v>
      </c>
      <c r="Q26" s="31">
        <v>0</v>
      </c>
    </row>
    <row r="27" spans="1:17" ht="12.75">
      <c r="A27" s="2" t="s">
        <v>13</v>
      </c>
      <c r="B27" s="2"/>
      <c r="C27" s="8"/>
      <c r="D27" s="9">
        <f>15040+5403.49+2301.52</f>
        <v>22745.01</v>
      </c>
      <c r="E27" s="10">
        <f>5820+2711.96+361.2</f>
        <v>8893.16</v>
      </c>
      <c r="F27" s="17">
        <f t="shared" si="4"/>
        <v>31638.17</v>
      </c>
      <c r="G27" s="11">
        <f t="shared" si="5"/>
        <v>2847.4352999999996</v>
      </c>
      <c r="H27" s="11">
        <v>2894.75</v>
      </c>
      <c r="I27" s="13">
        <v>5329</v>
      </c>
      <c r="J27" s="3">
        <v>0</v>
      </c>
      <c r="K27" s="3">
        <v>4052.65</v>
      </c>
      <c r="L27" s="3">
        <v>5328</v>
      </c>
      <c r="M27" s="3">
        <v>0</v>
      </c>
      <c r="N27" s="3">
        <f t="shared" si="6"/>
        <v>4745.7255</v>
      </c>
      <c r="O27" s="12">
        <f t="shared" si="7"/>
        <v>25197.5608</v>
      </c>
      <c r="P27" s="25">
        <f t="shared" si="8"/>
        <v>6440.609199999999</v>
      </c>
      <c r="Q27" s="31">
        <v>0</v>
      </c>
    </row>
    <row r="28" spans="1:17" ht="12.75">
      <c r="A28" s="2" t="s">
        <v>5</v>
      </c>
      <c r="B28" s="2"/>
      <c r="C28" s="8"/>
      <c r="D28" s="9">
        <f>12281.96+4624</f>
        <v>16905.96</v>
      </c>
      <c r="E28" s="10">
        <f>4965.24+1584</f>
        <v>6549.24</v>
      </c>
      <c r="F28" s="17">
        <f t="shared" si="4"/>
        <v>23455.199999999997</v>
      </c>
      <c r="G28" s="11">
        <f t="shared" si="5"/>
        <v>2110.968</v>
      </c>
      <c r="H28" s="11">
        <v>2894.75</v>
      </c>
      <c r="I28" s="13">
        <v>5329</v>
      </c>
      <c r="J28" s="3">
        <v>0</v>
      </c>
      <c r="K28" s="3">
        <v>4052.65</v>
      </c>
      <c r="L28" s="3">
        <v>5328</v>
      </c>
      <c r="M28" s="3">
        <v>0</v>
      </c>
      <c r="N28" s="3">
        <f t="shared" si="6"/>
        <v>3518.2799999999993</v>
      </c>
      <c r="O28" s="12">
        <f t="shared" si="7"/>
        <v>23233.648</v>
      </c>
      <c r="P28" s="25">
        <f t="shared" si="8"/>
        <v>221.55199999999604</v>
      </c>
      <c r="Q28" s="31">
        <v>0</v>
      </c>
    </row>
    <row r="29" spans="1:17" ht="12.75">
      <c r="A29" s="2" t="s">
        <v>10</v>
      </c>
      <c r="B29" s="2"/>
      <c r="C29" s="8"/>
      <c r="D29" s="9">
        <f>13267.2+5520.64</f>
        <v>18787.84</v>
      </c>
      <c r="E29" s="10">
        <f>5310+2310.2+1339.8</f>
        <v>8960</v>
      </c>
      <c r="F29" s="17">
        <f t="shared" si="4"/>
        <v>27747.84</v>
      </c>
      <c r="G29" s="11">
        <f t="shared" si="5"/>
        <v>2497.3056</v>
      </c>
      <c r="H29" s="11">
        <v>2894.75</v>
      </c>
      <c r="I29" s="13">
        <v>5329</v>
      </c>
      <c r="J29" s="3">
        <v>1836</v>
      </c>
      <c r="K29" s="3">
        <v>4052.65</v>
      </c>
      <c r="L29" s="3">
        <v>5328</v>
      </c>
      <c r="M29" s="3">
        <v>0</v>
      </c>
      <c r="N29" s="3">
        <f t="shared" si="6"/>
        <v>4162.1759999999995</v>
      </c>
      <c r="O29" s="12">
        <f t="shared" si="7"/>
        <v>26099.8816</v>
      </c>
      <c r="P29" s="25">
        <f t="shared" si="8"/>
        <v>1647.9583999999995</v>
      </c>
      <c r="Q29" s="31">
        <v>0</v>
      </c>
    </row>
    <row r="30" spans="1:17" ht="12.75">
      <c r="A30" s="2" t="s">
        <v>19</v>
      </c>
      <c r="B30" s="2"/>
      <c r="C30" s="8"/>
      <c r="D30" s="9">
        <f>16383.26+3343.2</f>
        <v>19726.46</v>
      </c>
      <c r="E30" s="10">
        <f>6479.1+1253.7</f>
        <v>7732.8</v>
      </c>
      <c r="F30" s="17">
        <f t="shared" si="4"/>
        <v>27459.26</v>
      </c>
      <c r="G30" s="11">
        <f t="shared" si="5"/>
        <v>2471.3334</v>
      </c>
      <c r="H30" s="11">
        <v>2894.75</v>
      </c>
      <c r="I30" s="13">
        <v>5329</v>
      </c>
      <c r="J30" s="3">
        <f>826+2226</f>
        <v>3052</v>
      </c>
      <c r="K30" s="3">
        <v>4052.65</v>
      </c>
      <c r="L30" s="3">
        <f>5727.6+2000</f>
        <v>7727.6</v>
      </c>
      <c r="M30" s="3">
        <v>0</v>
      </c>
      <c r="N30" s="3">
        <f t="shared" si="6"/>
        <v>4118.888999999999</v>
      </c>
      <c r="O30" s="12">
        <f t="shared" si="7"/>
        <v>29646.222400000002</v>
      </c>
      <c r="P30" s="25">
        <f t="shared" si="8"/>
        <v>-2186.962400000004</v>
      </c>
      <c r="Q30" s="31">
        <v>0</v>
      </c>
    </row>
    <row r="31" spans="1:17" ht="12.75">
      <c r="A31" s="2" t="s">
        <v>21</v>
      </c>
      <c r="B31" s="2"/>
      <c r="C31" s="8"/>
      <c r="D31" s="9">
        <f>16389.6+14349.94</f>
        <v>30739.54</v>
      </c>
      <c r="E31" s="10">
        <f>6481.15+5862.7+382.8</f>
        <v>12726.649999999998</v>
      </c>
      <c r="F31" s="17">
        <f t="shared" si="4"/>
        <v>43466.19</v>
      </c>
      <c r="G31" s="11">
        <f t="shared" si="5"/>
        <v>3911.9571</v>
      </c>
      <c r="H31" s="11">
        <v>2894.75</v>
      </c>
      <c r="I31" s="13">
        <v>5329</v>
      </c>
      <c r="J31" s="3">
        <f>663+1890</f>
        <v>2553</v>
      </c>
      <c r="K31" s="3">
        <v>4052.65</v>
      </c>
      <c r="L31" s="3">
        <f>5727.6+4500</f>
        <v>10227.6</v>
      </c>
      <c r="M31" s="3">
        <v>1400</v>
      </c>
      <c r="N31" s="3">
        <f t="shared" si="6"/>
        <v>6519.9285</v>
      </c>
      <c r="O31" s="12">
        <f t="shared" si="7"/>
        <v>36888.8856</v>
      </c>
      <c r="P31" s="25">
        <f t="shared" si="8"/>
        <v>6577.304400000001</v>
      </c>
      <c r="Q31" s="31">
        <v>0</v>
      </c>
    </row>
    <row r="32" spans="1:17" ht="12.75">
      <c r="A32" s="2" t="s">
        <v>22</v>
      </c>
      <c r="B32" s="2"/>
      <c r="C32" s="8"/>
      <c r="D32" s="9">
        <f>14706.4+6245.95+156.71</f>
        <v>21109.059999999998</v>
      </c>
      <c r="E32" s="10">
        <f>5992.94+2497.2+191.4</f>
        <v>8681.539999999999</v>
      </c>
      <c r="F32" s="17">
        <f t="shared" si="4"/>
        <v>29790.6</v>
      </c>
      <c r="G32" s="11">
        <f t="shared" si="5"/>
        <v>2681.154</v>
      </c>
      <c r="H32" s="11">
        <v>2894.75</v>
      </c>
      <c r="I32" s="13">
        <f>5329+1332</f>
        <v>6661</v>
      </c>
      <c r="J32" s="3">
        <f>4638+609+359+4595</f>
        <v>10201</v>
      </c>
      <c r="K32" s="3">
        <v>4052.65</v>
      </c>
      <c r="L32" s="3">
        <v>5727.6</v>
      </c>
      <c r="M32" s="3">
        <v>1400</v>
      </c>
      <c r="N32" s="3">
        <f t="shared" si="6"/>
        <v>4468.589999999999</v>
      </c>
      <c r="O32" s="12">
        <f t="shared" si="7"/>
        <v>38086.744</v>
      </c>
      <c r="P32" s="25">
        <f t="shared" si="8"/>
        <v>-8296.144</v>
      </c>
      <c r="Q32" s="31">
        <v>0</v>
      </c>
    </row>
    <row r="33" spans="1:17" ht="12.75">
      <c r="A33" s="2" t="s">
        <v>23</v>
      </c>
      <c r="B33" s="2"/>
      <c r="C33" s="8"/>
      <c r="D33" s="9">
        <f>16366.37+6658.05</f>
        <v>23024.420000000002</v>
      </c>
      <c r="E33" s="10">
        <f>6316.41+2651</f>
        <v>8967.41</v>
      </c>
      <c r="F33" s="17">
        <f t="shared" si="4"/>
        <v>31991.83</v>
      </c>
      <c r="G33" s="11">
        <f t="shared" si="5"/>
        <v>2879.2647</v>
      </c>
      <c r="H33" s="11">
        <v>2894.75</v>
      </c>
      <c r="I33" s="13">
        <v>5329</v>
      </c>
      <c r="J33" s="3">
        <f>8441+171+123+408</f>
        <v>9143</v>
      </c>
      <c r="K33" s="3">
        <v>4052.65</v>
      </c>
      <c r="L33" s="3">
        <v>5727.6</v>
      </c>
      <c r="M33" s="3">
        <v>1400</v>
      </c>
      <c r="N33" s="3">
        <f t="shared" si="6"/>
        <v>4798.7745</v>
      </c>
      <c r="O33" s="12">
        <f t="shared" si="7"/>
        <v>36225.0392</v>
      </c>
      <c r="P33" s="25">
        <f t="shared" si="8"/>
        <v>-4233.2091999999975</v>
      </c>
      <c r="Q33" s="31">
        <v>0</v>
      </c>
    </row>
    <row r="34" spans="1:17" ht="13.5" thickBot="1">
      <c r="A34" s="21" t="s">
        <v>20</v>
      </c>
      <c r="B34" s="21"/>
      <c r="C34" s="26"/>
      <c r="D34" s="9">
        <f>900+900+900+900</f>
        <v>3600</v>
      </c>
      <c r="E34" s="10">
        <v>0</v>
      </c>
      <c r="F34" s="17">
        <f t="shared" si="4"/>
        <v>3600</v>
      </c>
      <c r="G34" s="11">
        <f>SUM(F34*0.06)</f>
        <v>216</v>
      </c>
      <c r="H34" s="11">
        <v>0</v>
      </c>
      <c r="I34" s="13">
        <v>0</v>
      </c>
      <c r="J34" s="3">
        <v>0</v>
      </c>
      <c r="K34" s="3">
        <v>0</v>
      </c>
      <c r="L34" s="3">
        <v>0</v>
      </c>
      <c r="M34" s="3">
        <v>0</v>
      </c>
      <c r="N34" s="3">
        <f t="shared" si="6"/>
        <v>540</v>
      </c>
      <c r="O34" s="12">
        <f t="shared" si="7"/>
        <v>756</v>
      </c>
      <c r="P34" s="25">
        <f t="shared" si="8"/>
        <v>2844</v>
      </c>
      <c r="Q34" s="31">
        <v>0</v>
      </c>
    </row>
    <row r="35" spans="1:17" ht="13.5" thickBot="1">
      <c r="A35" s="23" t="s">
        <v>14</v>
      </c>
      <c r="B35" s="23"/>
      <c r="C35" s="23"/>
      <c r="D35" s="20">
        <f>SUM(D22:D34)</f>
        <v>259870.9</v>
      </c>
      <c r="E35" s="20">
        <f>SUM(E22:E34)</f>
        <v>103861.47999999998</v>
      </c>
      <c r="F35" s="24">
        <f>SUM(F21:F34)</f>
        <v>352811.56</v>
      </c>
      <c r="G35" s="20">
        <f aca="true" t="shared" si="9" ref="G35:O35">SUM(G22:G34)</f>
        <v>32627.914199999996</v>
      </c>
      <c r="H35" s="20">
        <f t="shared" si="9"/>
        <v>28947.5</v>
      </c>
      <c r="I35" s="20">
        <f t="shared" si="9"/>
        <v>65280</v>
      </c>
      <c r="J35" s="20">
        <f t="shared" si="9"/>
        <v>50209</v>
      </c>
      <c r="K35" s="20">
        <f t="shared" si="9"/>
        <v>48631.80000000001</v>
      </c>
      <c r="L35" s="20">
        <f t="shared" si="9"/>
        <v>74321.98000000001</v>
      </c>
      <c r="M35" s="20">
        <f t="shared" si="9"/>
        <v>9000</v>
      </c>
      <c r="N35" s="20">
        <f t="shared" si="9"/>
        <v>54559.856999999996</v>
      </c>
      <c r="O35" s="22">
        <f t="shared" si="9"/>
        <v>363578.0512</v>
      </c>
      <c r="P35" s="27">
        <f t="shared" si="8"/>
        <v>-10766.49119999999</v>
      </c>
      <c r="Q35" s="29">
        <f>SUM(Q21:Q34)</f>
        <v>0</v>
      </c>
    </row>
    <row r="36" spans="10:17" ht="12.75">
      <c r="J36" s="36"/>
      <c r="Q36" s="35">
        <f>Q35*0.91</f>
        <v>0</v>
      </c>
    </row>
    <row r="37" spans="5:17" ht="12.75">
      <c r="E37" s="36" t="s">
        <v>16</v>
      </c>
      <c r="F37" t="s">
        <v>26</v>
      </c>
      <c r="G37" t="s">
        <v>27</v>
      </c>
      <c r="H37" s="30"/>
      <c r="I37" s="30"/>
      <c r="K37" s="30"/>
      <c r="L37" s="30"/>
      <c r="P37" s="1"/>
      <c r="Q37" s="39"/>
    </row>
    <row r="38" spans="5:17" ht="12.75">
      <c r="E38" s="28" t="s">
        <v>19</v>
      </c>
      <c r="F38" t="s">
        <v>45</v>
      </c>
      <c r="G38" t="s">
        <v>46</v>
      </c>
      <c r="I38" s="1"/>
      <c r="Q38" s="39"/>
    </row>
    <row r="39" spans="5:17" ht="12.75">
      <c r="E39" s="33" t="s">
        <v>21</v>
      </c>
      <c r="F39" s="47" t="s">
        <v>47</v>
      </c>
      <c r="G39" s="76" t="s">
        <v>48</v>
      </c>
      <c r="H39" s="76"/>
      <c r="I39" s="76"/>
      <c r="J39" s="34"/>
      <c r="K39" s="32"/>
      <c r="P39" s="35"/>
      <c r="Q39" s="37"/>
    </row>
    <row r="40" spans="5:17" ht="12.75">
      <c r="E40" s="33"/>
      <c r="F40" s="34"/>
      <c r="G40" s="34"/>
      <c r="H40" s="34"/>
      <c r="I40" s="34"/>
      <c r="J40" s="34"/>
      <c r="K40" s="32"/>
      <c r="P40" s="35"/>
      <c r="Q40" s="37"/>
    </row>
    <row r="41" spans="5:17" ht="12.75">
      <c r="E41" s="33"/>
      <c r="F41" s="34"/>
      <c r="G41" s="34"/>
      <c r="H41" s="34"/>
      <c r="I41" s="34"/>
      <c r="J41" s="34"/>
      <c r="K41" s="32"/>
      <c r="P41" s="35"/>
      <c r="Q41" s="37"/>
    </row>
    <row r="42" spans="5:17" ht="12.75">
      <c r="E42" s="33"/>
      <c r="F42" s="33" t="s">
        <v>18</v>
      </c>
      <c r="G42" s="34"/>
      <c r="H42" s="34"/>
      <c r="I42" s="34"/>
      <c r="J42" s="34"/>
      <c r="K42" s="34"/>
      <c r="L42" s="32"/>
      <c r="P42" s="35"/>
      <c r="Q42" s="37"/>
    </row>
    <row r="43" ht="27" customHeight="1">
      <c r="Q43" s="38"/>
    </row>
  </sheetData>
  <sheetProtection/>
  <mergeCells count="32">
    <mergeCell ref="A18:O18"/>
    <mergeCell ref="D19:F19"/>
    <mergeCell ref="K19:N19"/>
    <mergeCell ref="J19:J21"/>
    <mergeCell ref="G39:I39"/>
    <mergeCell ref="A1:Q1"/>
    <mergeCell ref="A2:D2"/>
    <mergeCell ref="E2:G2"/>
    <mergeCell ref="H2:J2"/>
    <mergeCell ref="K2:M2"/>
    <mergeCell ref="G19:G21"/>
    <mergeCell ref="H19:H21"/>
    <mergeCell ref="I19:I21"/>
    <mergeCell ref="K20:K21"/>
    <mergeCell ref="A7:D7"/>
    <mergeCell ref="A9:D9"/>
    <mergeCell ref="A11:D11"/>
    <mergeCell ref="A12:D12"/>
    <mergeCell ref="M20:M21"/>
    <mergeCell ref="N20:N21"/>
    <mergeCell ref="O19:O21"/>
    <mergeCell ref="P19:P21"/>
    <mergeCell ref="Q19:Q20"/>
    <mergeCell ref="A4:D4"/>
    <mergeCell ref="A10:D10"/>
    <mergeCell ref="A14:D14"/>
    <mergeCell ref="A8:D8"/>
    <mergeCell ref="A3:D3"/>
    <mergeCell ref="A5:D5"/>
    <mergeCell ref="A6:D6"/>
    <mergeCell ref="L20:L21"/>
    <mergeCell ref="A13:D13"/>
  </mergeCells>
  <printOptions/>
  <pageMargins left="0.16666666666666666" right="0.23958333333333334" top="0.25" bottom="0.23958333333333334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2015-12-18T07:17:51Z</cp:lastPrinted>
  <dcterms:created xsi:type="dcterms:W3CDTF">2007-02-04T12:22:59Z</dcterms:created>
  <dcterms:modified xsi:type="dcterms:W3CDTF">2016-02-03T04:44:28Z</dcterms:modified>
  <cp:category/>
  <cp:version/>
  <cp:contentType/>
  <cp:contentStatus/>
</cp:coreProperties>
</file>