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225" windowHeight="5055" activeTab="0"/>
  </bookViews>
  <sheets>
    <sheet name="2015" sheetId="1" r:id="rId1"/>
  </sheets>
  <definedNames>
    <definedName name="_xlnm.Print_Area" localSheetId="0">'2015'!$A$1:$P$42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3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с 01.02.2015г.-300р</t>
        </r>
      </text>
    </comment>
    <comment ref="M2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3000р-3 доски объявлений</t>
        </r>
      </text>
    </comment>
    <comment ref="M2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2000р-оштукатуривание стен над балконом</t>
        </r>
      </text>
    </comment>
    <comment ref="M3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краска,замок навесной+работа-812р</t>
        </r>
      </text>
    </comment>
  </commentList>
</comments>
</file>

<file path=xl/sharedStrings.xml><?xml version="1.0" encoding="utf-8"?>
<sst xmlns="http://schemas.openxmlformats.org/spreadsheetml/2006/main" count="67" uniqueCount="47">
  <si>
    <t>октябрь</t>
  </si>
  <si>
    <t xml:space="preserve">Остаток </t>
  </si>
  <si>
    <t xml:space="preserve">Поступило </t>
  </si>
  <si>
    <t>Площадь</t>
  </si>
  <si>
    <t xml:space="preserve">Кол-во </t>
  </si>
  <si>
    <t>Расходы</t>
  </si>
  <si>
    <t>Содержание</t>
  </si>
  <si>
    <t>Ген. директор ООО "Георгиевск - ЖЭУ"                                            Никишина И.М.</t>
  </si>
  <si>
    <t>кв</t>
  </si>
  <si>
    <t>содер</t>
  </si>
  <si>
    <t>рем</t>
  </si>
  <si>
    <t>итого</t>
  </si>
  <si>
    <t>апрель</t>
  </si>
  <si>
    <t>февраль</t>
  </si>
  <si>
    <t>май</t>
  </si>
  <si>
    <t>июнь</t>
  </si>
  <si>
    <t>июль</t>
  </si>
  <si>
    <t>август</t>
  </si>
  <si>
    <t>сентябрь</t>
  </si>
  <si>
    <t>ноябрь</t>
  </si>
  <si>
    <t>декабрь</t>
  </si>
  <si>
    <t>январь</t>
  </si>
  <si>
    <t>март</t>
  </si>
  <si>
    <t>Учет доходов и расходов по Калинина 132,1 на 2015 год</t>
  </si>
  <si>
    <t>Ростелеком</t>
  </si>
  <si>
    <t>Доходы и расходы по воде и стокам</t>
  </si>
  <si>
    <t>Вода</t>
  </si>
  <si>
    <t>Стоки</t>
  </si>
  <si>
    <t>Вода ОДН</t>
  </si>
  <si>
    <t xml:space="preserve">начислено </t>
  </si>
  <si>
    <t xml:space="preserve">оплачено </t>
  </si>
  <si>
    <t>долг</t>
  </si>
  <si>
    <t>Итого</t>
  </si>
  <si>
    <t>Оплата банковских услуг и услуг ЕРКЦ</t>
  </si>
  <si>
    <t>Затраты по управлению</t>
  </si>
  <si>
    <t>Содержание придомовой территории</t>
  </si>
  <si>
    <t xml:space="preserve">Обслуживание приборов учета
</t>
  </si>
  <si>
    <t>Текущий ремонт</t>
  </si>
  <si>
    <t>аварийно-диспетчерское обслуживание</t>
  </si>
  <si>
    <t>Проф. обходы и осмотры, разное</t>
  </si>
  <si>
    <t>Общие эксплутационные расходы</t>
  </si>
  <si>
    <t>3000р</t>
  </si>
  <si>
    <t>3 доски объявлений</t>
  </si>
  <si>
    <t>2000р</t>
  </si>
  <si>
    <t>оштукатуривание стен над балконом</t>
  </si>
  <si>
    <t>812р</t>
  </si>
  <si>
    <t>краска,замок навесной+работа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</si>
</sst>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0.000"/>
    <numFmt numFmtId="167" formatCode="#,##0.000_р_."/>
    <numFmt numFmtId="168" formatCode="0.0000"/>
    <numFmt numFmtId="169" formatCode="#,##0.0000_р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8"/>
      <color indexed="8"/>
      <name val="Calibri"/>
      <family val="2"/>
    </font>
    <font>
      <b/>
      <sz val="10"/>
      <name val="Arial Cyr"/>
      <family val="0"/>
    </font>
    <font>
      <sz val="9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1" fontId="2" fillId="0" borderId="11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1" fillId="32" borderId="12" xfId="0" applyNumberFormat="1" applyFont="1" applyFill="1" applyBorder="1" applyAlignment="1">
      <alignment/>
    </xf>
    <xf numFmtId="164" fontId="1" fillId="32" borderId="12" xfId="0" applyNumberFormat="1" applyFont="1" applyFill="1" applyBorder="1" applyAlignment="1">
      <alignment/>
    </xf>
    <xf numFmtId="1" fontId="2" fillId="4" borderId="12" xfId="0" applyNumberFormat="1" applyFont="1" applyFill="1" applyBorder="1" applyAlignment="1">
      <alignment/>
    </xf>
    <xf numFmtId="164" fontId="1" fillId="4" borderId="12" xfId="0" applyNumberFormat="1" applyFont="1" applyFill="1" applyBorder="1" applyAlignment="1">
      <alignment/>
    </xf>
    <xf numFmtId="0" fontId="2" fillId="33" borderId="12" xfId="0" applyFont="1" applyFill="1" applyBorder="1" applyAlignment="1">
      <alignment/>
    </xf>
    <xf numFmtId="2" fontId="2" fillId="0" borderId="13" xfId="0" applyNumberFormat="1" applyFont="1" applyBorder="1" applyAlignment="1">
      <alignment/>
    </xf>
    <xf numFmtId="2" fontId="3" fillId="4" borderId="14" xfId="52" applyNumberFormat="1" applyFont="1" applyFill="1" applyBorder="1" applyAlignment="1">
      <alignment horizontal="center"/>
      <protection/>
    </xf>
    <xf numFmtId="164" fontId="1" fillId="5" borderId="12" xfId="0" applyNumberFormat="1" applyFont="1" applyFill="1" applyBorder="1" applyAlignment="1">
      <alignment/>
    </xf>
    <xf numFmtId="2" fontId="5" fillId="0" borderId="15" xfId="0" applyNumberFormat="1" applyFont="1" applyBorder="1" applyAlignment="1">
      <alignment/>
    </xf>
    <xf numFmtId="0" fontId="0" fillId="5" borderId="12" xfId="0" applyFill="1" applyBorder="1" applyAlignment="1">
      <alignment/>
    </xf>
    <xf numFmtId="2" fontId="1" fillId="5" borderId="12" xfId="0" applyNumberFormat="1" applyFont="1" applyFill="1" applyBorder="1" applyAlignment="1">
      <alignment/>
    </xf>
    <xf numFmtId="2" fontId="4" fillId="34" borderId="12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2" fillId="35" borderId="12" xfId="0" applyFont="1" applyFill="1" applyBorder="1" applyAlignment="1">
      <alignment/>
    </xf>
    <xf numFmtId="1" fontId="2" fillId="35" borderId="12" xfId="0" applyNumberFormat="1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6" borderId="12" xfId="0" applyFill="1" applyBorder="1" applyAlignment="1">
      <alignment/>
    </xf>
    <xf numFmtId="0" fontId="0" fillId="36" borderId="12" xfId="0" applyFill="1" applyBorder="1" applyAlignment="1">
      <alignment/>
    </xf>
    <xf numFmtId="0" fontId="0" fillId="37" borderId="12" xfId="0" applyFill="1" applyBorder="1" applyAlignment="1">
      <alignment/>
    </xf>
    <xf numFmtId="2" fontId="0" fillId="6" borderId="12" xfId="0" applyNumberFormat="1" applyFill="1" applyBorder="1" applyAlignment="1">
      <alignment/>
    </xf>
    <xf numFmtId="2" fontId="0" fillId="36" borderId="12" xfId="0" applyNumberFormat="1" applyFill="1" applyBorder="1" applyAlignment="1">
      <alignment/>
    </xf>
    <xf numFmtId="2" fontId="0" fillId="37" borderId="12" xfId="0" applyNumberFormat="1" applyFill="1" applyBorder="1" applyAlignment="1">
      <alignment/>
    </xf>
    <xf numFmtId="2" fontId="0" fillId="38" borderId="12" xfId="0" applyNumberFormat="1" applyFill="1" applyBorder="1" applyAlignment="1">
      <alignment/>
    </xf>
    <xf numFmtId="0" fontId="2" fillId="33" borderId="16" xfId="0" applyFont="1" applyFill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4" fillId="4" borderId="0" xfId="0" applyFont="1" applyFill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 wrapText="1"/>
    </xf>
    <xf numFmtId="2" fontId="1" fillId="0" borderId="14" xfId="0" applyNumberFormat="1" applyFont="1" applyFill="1" applyBorder="1" applyAlignment="1">
      <alignment horizontal="center" wrapText="1"/>
    </xf>
    <xf numFmtId="0" fontId="0" fillId="6" borderId="12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37" borderId="12" xfId="0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2" fontId="1" fillId="0" borderId="20" xfId="0" applyNumberFormat="1" applyFont="1" applyBorder="1" applyAlignment="1">
      <alignment horizontal="center" vertical="top" wrapText="1"/>
    </xf>
    <xf numFmtId="2" fontId="1" fillId="0" borderId="21" xfId="0" applyNumberFormat="1" applyFont="1" applyBorder="1" applyAlignment="1">
      <alignment horizontal="center" vertical="top" wrapText="1"/>
    </xf>
    <xf numFmtId="2" fontId="1" fillId="0" borderId="22" xfId="0" applyNumberFormat="1" applyFont="1" applyBorder="1" applyAlignment="1">
      <alignment horizontal="center" vertical="top" wrapText="1"/>
    </xf>
    <xf numFmtId="0" fontId="2" fillId="33" borderId="17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43"/>
  <sheetViews>
    <sheetView tabSelected="1" workbookViewId="0" topLeftCell="A13">
      <selection activeCell="F20" sqref="F20"/>
    </sheetView>
  </sheetViews>
  <sheetFormatPr defaultColWidth="9.00390625" defaultRowHeight="12.75"/>
  <cols>
    <col min="1" max="1" width="4.125" style="0" customWidth="1"/>
    <col min="2" max="2" width="4.00390625" style="0" customWidth="1"/>
    <col min="3" max="3" width="3.375" style="0" customWidth="1"/>
    <col min="4" max="4" width="9.75390625" style="0" customWidth="1"/>
    <col min="5" max="6" width="10.125" style="0" customWidth="1"/>
    <col min="7" max="7" width="9.75390625" style="0" customWidth="1"/>
    <col min="14" max="14" width="9.625" style="0" customWidth="1"/>
    <col min="15" max="15" width="9.875" style="0" customWidth="1"/>
    <col min="16" max="16" width="12.625" style="0" customWidth="1"/>
  </cols>
  <sheetData>
    <row r="1" spans="1:17" ht="12.75">
      <c r="A1" s="48" t="s">
        <v>25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33"/>
    </row>
    <row r="2" spans="1:13" ht="12.75">
      <c r="A2" s="34"/>
      <c r="B2" s="34"/>
      <c r="C2" s="34"/>
      <c r="D2" s="34"/>
      <c r="E2" s="55" t="s">
        <v>26</v>
      </c>
      <c r="F2" s="55"/>
      <c r="G2" s="55"/>
      <c r="H2" s="56" t="s">
        <v>27</v>
      </c>
      <c r="I2" s="56"/>
      <c r="J2" s="56"/>
      <c r="K2" s="57" t="s">
        <v>28</v>
      </c>
      <c r="L2" s="57"/>
      <c r="M2" s="57"/>
    </row>
    <row r="3" spans="1:13" ht="12.75">
      <c r="A3" s="34"/>
      <c r="B3" s="34"/>
      <c r="C3" s="34"/>
      <c r="D3" s="34"/>
      <c r="E3" s="25" t="s">
        <v>29</v>
      </c>
      <c r="F3" s="25" t="s">
        <v>30</v>
      </c>
      <c r="G3" s="25" t="s">
        <v>31</v>
      </c>
      <c r="H3" s="26" t="s">
        <v>29</v>
      </c>
      <c r="I3" s="26" t="s">
        <v>30</v>
      </c>
      <c r="J3" s="26" t="s">
        <v>31</v>
      </c>
      <c r="K3" s="27" t="s">
        <v>29</v>
      </c>
      <c r="L3" s="27" t="s">
        <v>30</v>
      </c>
      <c r="M3" s="27" t="s">
        <v>31</v>
      </c>
    </row>
    <row r="4" spans="1:13" ht="12.75">
      <c r="A4" s="61" t="s">
        <v>22</v>
      </c>
      <c r="B4" s="61"/>
      <c r="C4" s="61"/>
      <c r="D4" s="61"/>
      <c r="E4" s="28">
        <v>11738.51</v>
      </c>
      <c r="F4" s="28">
        <v>0</v>
      </c>
      <c r="G4" s="28">
        <f>E4-F4</f>
        <v>11738.51</v>
      </c>
      <c r="H4" s="29">
        <v>6170.18</v>
      </c>
      <c r="I4" s="29">
        <v>0</v>
      </c>
      <c r="J4" s="29">
        <f>H4-I4</f>
        <v>6170.18</v>
      </c>
      <c r="K4" s="30">
        <v>3425.01</v>
      </c>
      <c r="L4" s="30">
        <v>0</v>
      </c>
      <c r="M4" s="30">
        <f>K4-L4</f>
        <v>3425.01</v>
      </c>
    </row>
    <row r="5" spans="1:13" ht="12.75">
      <c r="A5" s="40" t="s">
        <v>12</v>
      </c>
      <c r="B5" s="40"/>
      <c r="C5" s="40"/>
      <c r="D5" s="41"/>
      <c r="E5" s="28">
        <v>11020</v>
      </c>
      <c r="F5" s="28">
        <f>5161.77+1983.6+44.08</f>
        <v>7189.450000000001</v>
      </c>
      <c r="G5" s="28">
        <f aca="true" t="shared" si="0" ref="G5:G13">E5-F5</f>
        <v>3830.5499999999993</v>
      </c>
      <c r="H5" s="29">
        <v>5792.5</v>
      </c>
      <c r="I5" s="29">
        <f>2713.212+1042.65+23.17</f>
        <v>3779.032</v>
      </c>
      <c r="J5" s="29">
        <f aca="true" t="shared" si="1" ref="J5:J13">H5-I5</f>
        <v>2013.4679999999998</v>
      </c>
      <c r="K5" s="30">
        <v>6391.64</v>
      </c>
      <c r="L5" s="30">
        <f>1560.73+753.29+48.93</f>
        <v>2362.95</v>
      </c>
      <c r="M5" s="30">
        <f aca="true" t="shared" si="2" ref="M5:M13">K5-L5</f>
        <v>4028.6900000000005</v>
      </c>
    </row>
    <row r="6" spans="1:13" ht="12.75">
      <c r="A6" s="40" t="s">
        <v>14</v>
      </c>
      <c r="B6" s="40"/>
      <c r="C6" s="40"/>
      <c r="D6" s="41"/>
      <c r="E6" s="28">
        <v>12792.02</v>
      </c>
      <c r="F6" s="28">
        <f>8875.2+3287.35+44.08</f>
        <v>12206.630000000001</v>
      </c>
      <c r="G6" s="28">
        <f t="shared" si="0"/>
        <v>585.3899999999994</v>
      </c>
      <c r="H6" s="29">
        <v>6723.94</v>
      </c>
      <c r="I6" s="29">
        <f>4902.3+1962.67+23.17</f>
        <v>6888.14</v>
      </c>
      <c r="J6" s="29">
        <f t="shared" si="1"/>
        <v>-164.20000000000073</v>
      </c>
      <c r="K6" s="30">
        <v>1445.87</v>
      </c>
      <c r="L6" s="30">
        <f>2952.05+1501.75+91.25</f>
        <v>4545.05</v>
      </c>
      <c r="M6" s="30">
        <f t="shared" si="2"/>
        <v>-3099.1800000000003</v>
      </c>
    </row>
    <row r="7" spans="1:13" ht="12.75">
      <c r="A7" s="40" t="s">
        <v>15</v>
      </c>
      <c r="B7" s="40"/>
      <c r="C7" s="40"/>
      <c r="D7" s="41"/>
      <c r="E7" s="28">
        <v>11910.42</v>
      </c>
      <c r="F7" s="28">
        <f>8117.28+2751.61+661.2</f>
        <v>11530.09</v>
      </c>
      <c r="G7" s="28">
        <f t="shared" si="0"/>
        <v>380.3299999999999</v>
      </c>
      <c r="H7" s="29">
        <v>6260.54</v>
      </c>
      <c r="I7" s="29">
        <f>4146.22+1228.01+46.34</f>
        <v>5420.570000000001</v>
      </c>
      <c r="J7" s="29">
        <f t="shared" si="1"/>
        <v>839.9699999999993</v>
      </c>
      <c r="K7" s="30">
        <v>4046.58</v>
      </c>
      <c r="L7" s="30">
        <f>1623.48+410.39+759.03</f>
        <v>2792.8999999999996</v>
      </c>
      <c r="M7" s="30">
        <f t="shared" si="2"/>
        <v>1253.6800000000003</v>
      </c>
    </row>
    <row r="8" spans="1:13" ht="12.75">
      <c r="A8" s="40" t="s">
        <v>16</v>
      </c>
      <c r="B8" s="40"/>
      <c r="C8" s="40"/>
      <c r="D8" s="41"/>
      <c r="E8" s="28">
        <v>15318.14</v>
      </c>
      <c r="F8" s="28">
        <f>7218.06+5073.84+44.08</f>
        <v>12335.980000000001</v>
      </c>
      <c r="G8" s="28">
        <f t="shared" si="0"/>
        <v>2982.159999999998</v>
      </c>
      <c r="H8" s="29">
        <v>7983.64</v>
      </c>
      <c r="I8" s="29">
        <f>3556.58+2664.42+23.17</f>
        <v>6244.17</v>
      </c>
      <c r="J8" s="29">
        <f t="shared" si="1"/>
        <v>1739.4700000000003</v>
      </c>
      <c r="K8" s="30">
        <v>5141.4</v>
      </c>
      <c r="L8" s="30">
        <f>2062+971.09+57.74</f>
        <v>3090.83</v>
      </c>
      <c r="M8" s="30">
        <f t="shared" si="2"/>
        <v>2050.5699999999997</v>
      </c>
    </row>
    <row r="9" spans="1:13" ht="12.75">
      <c r="A9" s="40" t="s">
        <v>17</v>
      </c>
      <c r="B9" s="40"/>
      <c r="C9" s="40"/>
      <c r="D9" s="41"/>
      <c r="E9" s="28">
        <v>14740.46</v>
      </c>
      <c r="F9" s="28">
        <f>10332.12+3774.58+48.14</f>
        <v>14154.84</v>
      </c>
      <c r="G9" s="28">
        <f t="shared" si="0"/>
        <v>585.619999999999</v>
      </c>
      <c r="H9" s="29">
        <v>7682.56</v>
      </c>
      <c r="I9" s="29">
        <f>5392.82+1950.36+25.09</f>
        <v>7368.2699999999995</v>
      </c>
      <c r="J9" s="29">
        <f t="shared" si="1"/>
        <v>314.2900000000009</v>
      </c>
      <c r="K9" s="30">
        <v>5622.78</v>
      </c>
      <c r="L9" s="30">
        <f>3056.1+1731.01+73.65</f>
        <v>4860.759999999999</v>
      </c>
      <c r="M9" s="30">
        <f t="shared" si="2"/>
        <v>762.0200000000004</v>
      </c>
    </row>
    <row r="10" spans="1:13" ht="12.75">
      <c r="A10" s="40" t="s">
        <v>18</v>
      </c>
      <c r="B10" s="40"/>
      <c r="C10" s="40"/>
      <c r="D10" s="41"/>
      <c r="E10" s="28">
        <v>16762.34</v>
      </c>
      <c r="F10" s="28">
        <f>9997.86+3510.22+48.14</f>
        <v>13556.22</v>
      </c>
      <c r="G10" s="28">
        <f t="shared" si="0"/>
        <v>3206.120000000001</v>
      </c>
      <c r="H10" s="29">
        <v>8736.34</v>
      </c>
      <c r="I10" s="29">
        <f>5333.99+2132.78+25.09</f>
        <v>7491.860000000001</v>
      </c>
      <c r="J10" s="29">
        <f t="shared" si="1"/>
        <v>1244.4799999999996</v>
      </c>
      <c r="K10" s="30">
        <v>6007.84</v>
      </c>
      <c r="L10" s="30">
        <f>3755.92+1682.75+120.83</f>
        <v>5559.5</v>
      </c>
      <c r="M10" s="30">
        <f t="shared" si="2"/>
        <v>448.34000000000015</v>
      </c>
    </row>
    <row r="11" spans="1:13" ht="12.75">
      <c r="A11" s="40" t="s">
        <v>0</v>
      </c>
      <c r="B11" s="40"/>
      <c r="C11" s="40"/>
      <c r="D11" s="41"/>
      <c r="E11" s="28">
        <v>14985.97</v>
      </c>
      <c r="F11" s="28">
        <f>11206.41+4717.72</f>
        <v>15924.130000000001</v>
      </c>
      <c r="G11" s="28">
        <f t="shared" si="0"/>
        <v>-938.1600000000017</v>
      </c>
      <c r="H11" s="29">
        <v>7810.52</v>
      </c>
      <c r="I11" s="29">
        <f>5844.73+2458.82</f>
        <v>8303.55</v>
      </c>
      <c r="J11" s="29">
        <f t="shared" si="1"/>
        <v>-493.02999999999884</v>
      </c>
      <c r="K11" s="30">
        <v>2922.06</v>
      </c>
      <c r="L11" s="30">
        <f>4241.03+1576.3+5.3</f>
        <v>5822.63</v>
      </c>
      <c r="M11" s="30">
        <f t="shared" si="2"/>
        <v>-2900.57</v>
      </c>
    </row>
    <row r="12" spans="1:13" ht="12.75">
      <c r="A12" s="40" t="s">
        <v>19</v>
      </c>
      <c r="B12" s="40"/>
      <c r="C12" s="40"/>
      <c r="D12" s="41"/>
      <c r="E12" s="28">
        <v>13950.96</v>
      </c>
      <c r="F12" s="28">
        <f>8289.7+3466.08</f>
        <v>11755.78</v>
      </c>
      <c r="G12" s="28">
        <f t="shared" si="0"/>
        <v>2195.1799999999985</v>
      </c>
      <c r="H12" s="29">
        <v>7271.09</v>
      </c>
      <c r="I12" s="29">
        <f>4320.5+1806.48</f>
        <v>6126.98</v>
      </c>
      <c r="J12" s="29">
        <f t="shared" si="1"/>
        <v>1144.1100000000006</v>
      </c>
      <c r="K12" s="30">
        <v>5016.16</v>
      </c>
      <c r="L12" s="30">
        <f>1932.25+1036.74+41.88</f>
        <v>3010.87</v>
      </c>
      <c r="M12" s="30">
        <f t="shared" si="2"/>
        <v>2005.29</v>
      </c>
    </row>
    <row r="13" spans="1:13" ht="12.75">
      <c r="A13" s="40" t="s">
        <v>20</v>
      </c>
      <c r="B13" s="40"/>
      <c r="C13" s="40"/>
      <c r="D13" s="41"/>
      <c r="E13" s="28">
        <v>13392.54</v>
      </c>
      <c r="F13" s="28">
        <f>12121.64+3562.36</f>
        <v>15684</v>
      </c>
      <c r="G13" s="28">
        <f t="shared" si="0"/>
        <v>-2291.459999999999</v>
      </c>
      <c r="H13" s="29">
        <v>6980.04</v>
      </c>
      <c r="I13" s="29">
        <f>6317.71+1856.66</f>
        <v>8174.37</v>
      </c>
      <c r="J13" s="29">
        <f t="shared" si="1"/>
        <v>-1194.33</v>
      </c>
      <c r="K13" s="30">
        <v>4419.23</v>
      </c>
      <c r="L13" s="30">
        <f>3813.08+1117.32</f>
        <v>4930.4</v>
      </c>
      <c r="M13" s="30">
        <f t="shared" si="2"/>
        <v>-511.1700000000001</v>
      </c>
    </row>
    <row r="14" spans="1:13" ht="12.75">
      <c r="A14" s="44" t="s">
        <v>32</v>
      </c>
      <c r="B14" s="44"/>
      <c r="C14" s="44"/>
      <c r="D14" s="44"/>
      <c r="E14" s="31">
        <f aca="true" t="shared" si="3" ref="E14:M14">SUM(E4:E13)</f>
        <v>136611.36</v>
      </c>
      <c r="F14" s="31">
        <f t="shared" si="3"/>
        <v>114337.12000000001</v>
      </c>
      <c r="G14" s="31">
        <f t="shared" si="3"/>
        <v>22274.23999999999</v>
      </c>
      <c r="H14" s="31">
        <f t="shared" si="3"/>
        <v>71411.34999999999</v>
      </c>
      <c r="I14" s="31">
        <f t="shared" si="3"/>
        <v>59796.942</v>
      </c>
      <c r="J14" s="31">
        <f t="shared" si="3"/>
        <v>11614.408000000001</v>
      </c>
      <c r="K14" s="31">
        <f t="shared" si="3"/>
        <v>44438.56999999999</v>
      </c>
      <c r="L14" s="31">
        <f t="shared" si="3"/>
        <v>36975.89</v>
      </c>
      <c r="M14" s="31">
        <f t="shared" si="3"/>
        <v>7462.680000000001</v>
      </c>
    </row>
    <row r="17" spans="1:16" ht="12.75">
      <c r="A17" s="35" t="s">
        <v>23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</row>
    <row r="18" spans="1:16" ht="37.5" customHeight="1">
      <c r="A18" s="2"/>
      <c r="B18" s="3" t="s">
        <v>3</v>
      </c>
      <c r="C18" s="4" t="s">
        <v>4</v>
      </c>
      <c r="D18" s="36" t="s">
        <v>2</v>
      </c>
      <c r="E18" s="36"/>
      <c r="F18" s="36"/>
      <c r="G18" s="62" t="s">
        <v>33</v>
      </c>
      <c r="H18" s="45" t="s">
        <v>34</v>
      </c>
      <c r="I18" s="45" t="s">
        <v>35</v>
      </c>
      <c r="J18" s="52" t="s">
        <v>36</v>
      </c>
      <c r="K18" s="45" t="s">
        <v>37</v>
      </c>
      <c r="L18" s="37" t="s">
        <v>6</v>
      </c>
      <c r="M18" s="38"/>
      <c r="N18" s="39"/>
      <c r="O18" s="49" t="s">
        <v>5</v>
      </c>
      <c r="P18" s="58" t="s">
        <v>1</v>
      </c>
    </row>
    <row r="19" spans="1:16" ht="41.25" customHeight="1" thickBot="1">
      <c r="A19" s="2"/>
      <c r="B19" s="5"/>
      <c r="C19" s="6" t="s">
        <v>8</v>
      </c>
      <c r="D19" s="7" t="s">
        <v>9</v>
      </c>
      <c r="E19" s="7" t="s">
        <v>10</v>
      </c>
      <c r="F19" s="7" t="s">
        <v>11</v>
      </c>
      <c r="G19" s="63"/>
      <c r="H19" s="46"/>
      <c r="I19" s="46"/>
      <c r="J19" s="53"/>
      <c r="K19" s="46"/>
      <c r="L19" s="45" t="s">
        <v>38</v>
      </c>
      <c r="M19" s="45" t="s">
        <v>39</v>
      </c>
      <c r="N19" s="45" t="s">
        <v>40</v>
      </c>
      <c r="O19" s="50"/>
      <c r="P19" s="59"/>
    </row>
    <row r="20" spans="1:16" ht="15" thickBot="1">
      <c r="A20" s="2"/>
      <c r="B20" s="5">
        <v>2008.2</v>
      </c>
      <c r="C20" s="6"/>
      <c r="D20" s="7"/>
      <c r="E20" s="14"/>
      <c r="F20" s="17">
        <v>-198256.27</v>
      </c>
      <c r="G20" s="64"/>
      <c r="H20" s="47"/>
      <c r="I20" s="47"/>
      <c r="J20" s="54"/>
      <c r="K20" s="47"/>
      <c r="L20" s="47"/>
      <c r="M20" s="47"/>
      <c r="N20" s="47"/>
      <c r="O20" s="51"/>
      <c r="P20" s="60"/>
    </row>
    <row r="21" spans="1:16" ht="14.25">
      <c r="A21" s="13" t="s">
        <v>21</v>
      </c>
      <c r="B21" s="13"/>
      <c r="C21" s="11"/>
      <c r="D21" s="12">
        <f>8187.31+255.6</f>
        <v>8442.91</v>
      </c>
      <c r="E21" s="12">
        <f>6822+715.8</f>
        <v>7537.8</v>
      </c>
      <c r="F21" s="15">
        <f aca="true" t="shared" si="4" ref="F21:F33">SUM(D21:E21)</f>
        <v>15980.71</v>
      </c>
      <c r="G21" s="10">
        <f aca="true" t="shared" si="5" ref="G21:G32">SUM((F21*0.09))</f>
        <v>1438.2639</v>
      </c>
      <c r="H21" s="10">
        <v>0</v>
      </c>
      <c r="I21" s="9">
        <v>4463.2</v>
      </c>
      <c r="J21" s="9">
        <v>1200</v>
      </c>
      <c r="K21" s="9">
        <v>0</v>
      </c>
      <c r="L21" s="9">
        <f>B20*1.4</f>
        <v>2811.48</v>
      </c>
      <c r="M21" s="9">
        <v>1998</v>
      </c>
      <c r="N21" s="9">
        <f aca="true" t="shared" si="6" ref="N21:N33">SUM(F21*0.15)</f>
        <v>2397.1065</v>
      </c>
      <c r="O21" s="9">
        <f aca="true" t="shared" si="7" ref="O21:O33">SUM(G21:N21)</f>
        <v>14308.0504</v>
      </c>
      <c r="P21" s="8">
        <f aca="true" t="shared" si="8" ref="P21:P34">F21-O21</f>
        <v>1672.659599999999</v>
      </c>
    </row>
    <row r="22" spans="1:16" ht="14.25">
      <c r="A22" s="13" t="s">
        <v>13</v>
      </c>
      <c r="B22" s="13"/>
      <c r="C22" s="11"/>
      <c r="D22" s="12">
        <f>9075+1634.4</f>
        <v>10709.4</v>
      </c>
      <c r="E22" s="12">
        <f>7533.3+1127.25</f>
        <v>8660.55</v>
      </c>
      <c r="F22" s="15">
        <f t="shared" si="4"/>
        <v>19369.949999999997</v>
      </c>
      <c r="G22" s="10">
        <f t="shared" si="5"/>
        <v>1743.2954999999997</v>
      </c>
      <c r="H22" s="10">
        <v>0</v>
      </c>
      <c r="I22" s="9">
        <v>4463.2</v>
      </c>
      <c r="J22" s="9">
        <v>1200</v>
      </c>
      <c r="K22" s="9">
        <v>0</v>
      </c>
      <c r="L22" s="9">
        <v>2811.48</v>
      </c>
      <c r="M22" s="9">
        <v>1998</v>
      </c>
      <c r="N22" s="9">
        <f t="shared" si="6"/>
        <v>2905.4924999999994</v>
      </c>
      <c r="O22" s="9">
        <f t="shared" si="7"/>
        <v>15121.467999999997</v>
      </c>
      <c r="P22" s="8">
        <f t="shared" si="8"/>
        <v>4248.482</v>
      </c>
    </row>
    <row r="23" spans="1:16" ht="14.25">
      <c r="A23" s="13" t="s">
        <v>22</v>
      </c>
      <c r="B23" s="13"/>
      <c r="C23" s="11"/>
      <c r="D23" s="12">
        <f>8091.39+6111.2</f>
        <v>14202.59</v>
      </c>
      <c r="E23" s="12">
        <f>6676+4888.5</f>
        <v>11564.5</v>
      </c>
      <c r="F23" s="15">
        <f t="shared" si="4"/>
        <v>25767.09</v>
      </c>
      <c r="G23" s="10">
        <f t="shared" si="5"/>
        <v>2319.0380999999998</v>
      </c>
      <c r="H23" s="10">
        <v>2008.2</v>
      </c>
      <c r="I23" s="9">
        <v>4463.2</v>
      </c>
      <c r="J23" s="9">
        <v>1200</v>
      </c>
      <c r="K23" s="9">
        <v>0</v>
      </c>
      <c r="L23" s="9">
        <v>2811.48</v>
      </c>
      <c r="M23" s="9">
        <v>1998</v>
      </c>
      <c r="N23" s="9">
        <f t="shared" si="6"/>
        <v>3865.0634999999997</v>
      </c>
      <c r="O23" s="9">
        <f t="shared" si="7"/>
        <v>18664.9816</v>
      </c>
      <c r="P23" s="8">
        <f t="shared" si="8"/>
        <v>7102.108400000001</v>
      </c>
    </row>
    <row r="24" spans="1:16" ht="14.25">
      <c r="A24" s="13" t="s">
        <v>12</v>
      </c>
      <c r="B24" s="13"/>
      <c r="C24" s="11"/>
      <c r="D24" s="12">
        <f>6369.7+3247+200.9</f>
        <v>9817.6</v>
      </c>
      <c r="E24" s="12">
        <f>4697+3306.95+143.5</f>
        <v>8147.45</v>
      </c>
      <c r="F24" s="15">
        <f t="shared" si="4"/>
        <v>17965.05</v>
      </c>
      <c r="G24" s="10">
        <f t="shared" si="5"/>
        <v>1616.8545</v>
      </c>
      <c r="H24" s="10">
        <v>2008.2</v>
      </c>
      <c r="I24" s="9">
        <v>4463.2</v>
      </c>
      <c r="J24" s="9">
        <v>1200</v>
      </c>
      <c r="K24" s="9">
        <v>0</v>
      </c>
      <c r="L24" s="9">
        <v>2811.48</v>
      </c>
      <c r="M24" s="9">
        <v>1998</v>
      </c>
      <c r="N24" s="9">
        <f t="shared" si="6"/>
        <v>2694.7574999999997</v>
      </c>
      <c r="O24" s="9">
        <f t="shared" si="7"/>
        <v>16792.492</v>
      </c>
      <c r="P24" s="8">
        <f t="shared" si="8"/>
        <v>1172.558000000001</v>
      </c>
    </row>
    <row r="25" spans="1:16" ht="14.25">
      <c r="A25" s="65" t="s">
        <v>14</v>
      </c>
      <c r="B25" s="66"/>
      <c r="C25" s="11"/>
      <c r="D25" s="12">
        <f>7774.1+4501.7+201</f>
        <v>12476.8</v>
      </c>
      <c r="E25" s="12">
        <f>5532+3078.5+143.5</f>
        <v>8754</v>
      </c>
      <c r="F25" s="15">
        <f t="shared" si="4"/>
        <v>21230.8</v>
      </c>
      <c r="G25" s="10">
        <f t="shared" si="5"/>
        <v>1910.772</v>
      </c>
      <c r="H25" s="10">
        <v>2008.2</v>
      </c>
      <c r="I25" s="9">
        <v>4463.2</v>
      </c>
      <c r="J25" s="9">
        <v>0</v>
      </c>
      <c r="K25" s="9">
        <v>0</v>
      </c>
      <c r="L25" s="9">
        <v>2811.48</v>
      </c>
      <c r="M25" s="9">
        <v>1998</v>
      </c>
      <c r="N25" s="9">
        <f t="shared" si="6"/>
        <v>3184.62</v>
      </c>
      <c r="O25" s="9">
        <f t="shared" si="7"/>
        <v>16376.271999999997</v>
      </c>
      <c r="P25" s="8">
        <f t="shared" si="8"/>
        <v>4854.528000000002</v>
      </c>
    </row>
    <row r="26" spans="1:16" ht="14.25">
      <c r="A26" s="32" t="s">
        <v>15</v>
      </c>
      <c r="B26" s="32"/>
      <c r="C26" s="11"/>
      <c r="D26" s="12">
        <f>11926.4+3417.4+2779</f>
        <v>18122.8</v>
      </c>
      <c r="E26" s="12">
        <f>8663.6+2587.5+1963.5</f>
        <v>13214.6</v>
      </c>
      <c r="F26" s="15">
        <f t="shared" si="4"/>
        <v>31337.4</v>
      </c>
      <c r="G26" s="10">
        <f t="shared" si="5"/>
        <v>2820.366</v>
      </c>
      <c r="H26" s="10">
        <v>2008.2</v>
      </c>
      <c r="I26" s="9">
        <v>4463.2</v>
      </c>
      <c r="J26" s="9">
        <v>0</v>
      </c>
      <c r="K26" s="9">
        <v>0</v>
      </c>
      <c r="L26" s="9">
        <v>2811.48</v>
      </c>
      <c r="M26" s="9">
        <f>1998+3000</f>
        <v>4998</v>
      </c>
      <c r="N26" s="9">
        <f t="shared" si="6"/>
        <v>4700.61</v>
      </c>
      <c r="O26" s="9">
        <f t="shared" si="7"/>
        <v>21801.856</v>
      </c>
      <c r="P26" s="8">
        <f t="shared" si="8"/>
        <v>9535.544000000002</v>
      </c>
    </row>
    <row r="27" spans="1:16" ht="14.25">
      <c r="A27" s="32" t="s">
        <v>16</v>
      </c>
      <c r="B27" s="32"/>
      <c r="C27" s="11"/>
      <c r="D27" s="12">
        <f>6062+5045.6</f>
        <v>11107.6</v>
      </c>
      <c r="E27" s="12">
        <f>4208.59+3527.1+143.5</f>
        <v>7879.1900000000005</v>
      </c>
      <c r="F27" s="15">
        <f t="shared" si="4"/>
        <v>18986.79</v>
      </c>
      <c r="G27" s="10">
        <f t="shared" si="5"/>
        <v>1708.8111000000001</v>
      </c>
      <c r="H27" s="10">
        <v>2008.2</v>
      </c>
      <c r="I27" s="9">
        <v>4463.2</v>
      </c>
      <c r="J27" s="9">
        <v>0</v>
      </c>
      <c r="K27" s="9">
        <f>12158+1258</f>
        <v>13416</v>
      </c>
      <c r="L27" s="9">
        <v>2811.48</v>
      </c>
      <c r="M27" s="9">
        <v>1998</v>
      </c>
      <c r="N27" s="9">
        <f t="shared" si="6"/>
        <v>2848.0185</v>
      </c>
      <c r="O27" s="9">
        <f t="shared" si="7"/>
        <v>29253.709600000002</v>
      </c>
      <c r="P27" s="8">
        <f t="shared" si="8"/>
        <v>-10266.919600000001</v>
      </c>
    </row>
    <row r="28" spans="1:16" ht="14.25">
      <c r="A28" s="32" t="s">
        <v>17</v>
      </c>
      <c r="B28" s="32"/>
      <c r="C28" s="11"/>
      <c r="D28" s="12">
        <f>10267.4+4448.5</f>
        <v>14715.9</v>
      </c>
      <c r="E28" s="12">
        <f>7754.33+3176.5+143.5</f>
        <v>11074.33</v>
      </c>
      <c r="F28" s="15">
        <f t="shared" si="4"/>
        <v>25790.23</v>
      </c>
      <c r="G28" s="10">
        <f t="shared" si="5"/>
        <v>2321.1207</v>
      </c>
      <c r="H28" s="10">
        <v>2008.2</v>
      </c>
      <c r="I28" s="9">
        <v>4463.2</v>
      </c>
      <c r="J28" s="9">
        <v>0</v>
      </c>
      <c r="K28" s="9">
        <v>0</v>
      </c>
      <c r="L28" s="9">
        <v>2811.48</v>
      </c>
      <c r="M28" s="9">
        <v>1998</v>
      </c>
      <c r="N28" s="9">
        <f t="shared" si="6"/>
        <v>3868.5344999999998</v>
      </c>
      <c r="O28" s="9">
        <f t="shared" si="7"/>
        <v>17470.5352</v>
      </c>
      <c r="P28" s="8">
        <f t="shared" si="8"/>
        <v>8319.694800000001</v>
      </c>
    </row>
    <row r="29" spans="1:16" ht="14.25">
      <c r="A29" s="32" t="s">
        <v>18</v>
      </c>
      <c r="B29" s="32"/>
      <c r="C29" s="11"/>
      <c r="D29" s="12">
        <f>8786.3+5077+301.7</f>
        <v>14165</v>
      </c>
      <c r="E29" s="12">
        <f>6141+3876.48+215.5</f>
        <v>10232.98</v>
      </c>
      <c r="F29" s="15">
        <f t="shared" si="4"/>
        <v>24397.98</v>
      </c>
      <c r="G29" s="10">
        <f t="shared" si="5"/>
        <v>2195.8181999999997</v>
      </c>
      <c r="H29" s="10">
        <v>2008.2</v>
      </c>
      <c r="I29" s="9">
        <v>4463.2</v>
      </c>
      <c r="J29" s="9">
        <v>0</v>
      </c>
      <c r="K29" s="9">
        <f>393+9145</f>
        <v>9538</v>
      </c>
      <c r="L29" s="9">
        <v>2811.48</v>
      </c>
      <c r="M29" s="9">
        <f>2317.68+2000</f>
        <v>4317.68</v>
      </c>
      <c r="N29" s="9">
        <f t="shared" si="6"/>
        <v>3659.6969999999997</v>
      </c>
      <c r="O29" s="9">
        <f t="shared" si="7"/>
        <v>28994.0752</v>
      </c>
      <c r="P29" s="8">
        <f t="shared" si="8"/>
        <v>-4596.0952</v>
      </c>
    </row>
    <row r="30" spans="1:16" ht="14.25">
      <c r="A30" s="42" t="s">
        <v>0</v>
      </c>
      <c r="B30" s="43"/>
      <c r="C30" s="11"/>
      <c r="D30" s="12">
        <f>13050.77+5382+155.5</f>
        <v>18588.27</v>
      </c>
      <c r="E30" s="12">
        <f>7580+2467.5</f>
        <v>10047.5</v>
      </c>
      <c r="F30" s="15">
        <f t="shared" si="4"/>
        <v>28635.77</v>
      </c>
      <c r="G30" s="10">
        <f t="shared" si="5"/>
        <v>2577.2192999999997</v>
      </c>
      <c r="H30" s="10">
        <v>2008.2</v>
      </c>
      <c r="I30" s="9">
        <v>4463.2</v>
      </c>
      <c r="J30" s="9">
        <v>1400</v>
      </c>
      <c r="K30" s="9">
        <v>0</v>
      </c>
      <c r="L30" s="9">
        <v>2811.48</v>
      </c>
      <c r="M30" s="9">
        <v>2317.68</v>
      </c>
      <c r="N30" s="9">
        <f t="shared" si="6"/>
        <v>4295.3655</v>
      </c>
      <c r="O30" s="9">
        <f t="shared" si="7"/>
        <v>19873.1448</v>
      </c>
      <c r="P30" s="8">
        <f t="shared" si="8"/>
        <v>8762.625200000002</v>
      </c>
    </row>
    <row r="31" spans="1:16" ht="14.25">
      <c r="A31" s="42" t="s">
        <v>19</v>
      </c>
      <c r="B31" s="43"/>
      <c r="C31" s="11"/>
      <c r="D31" s="12">
        <f>12192.5+5929.9+287</f>
        <v>18409.4</v>
      </c>
      <c r="E31" s="12">
        <f>5405+3012.5+143.5</f>
        <v>8561</v>
      </c>
      <c r="F31" s="15">
        <f t="shared" si="4"/>
        <v>26970.4</v>
      </c>
      <c r="G31" s="10">
        <f t="shared" si="5"/>
        <v>2427.3360000000002</v>
      </c>
      <c r="H31" s="10">
        <v>2008.2</v>
      </c>
      <c r="I31" s="9">
        <v>4463.2</v>
      </c>
      <c r="J31" s="9">
        <v>1400</v>
      </c>
      <c r="K31" s="9">
        <v>2410</v>
      </c>
      <c r="L31" s="9">
        <v>2811.48</v>
      </c>
      <c r="M31" s="9">
        <f>2317.68+812</f>
        <v>3129.68</v>
      </c>
      <c r="N31" s="9">
        <f t="shared" si="6"/>
        <v>4045.56</v>
      </c>
      <c r="O31" s="9">
        <f t="shared" si="7"/>
        <v>22695.456000000002</v>
      </c>
      <c r="P31" s="8">
        <f t="shared" si="8"/>
        <v>4274.9439999999995</v>
      </c>
    </row>
    <row r="32" spans="1:16" ht="14.25">
      <c r="A32" s="42" t="s">
        <v>20</v>
      </c>
      <c r="B32" s="43"/>
      <c r="C32" s="11"/>
      <c r="D32" s="12">
        <f>15968.13+4820</f>
        <v>20788.129999999997</v>
      </c>
      <c r="E32" s="12">
        <f>8145+2410</f>
        <v>10555</v>
      </c>
      <c r="F32" s="15">
        <f t="shared" si="4"/>
        <v>31343.129999999997</v>
      </c>
      <c r="G32" s="10">
        <f t="shared" si="5"/>
        <v>2820.8816999999995</v>
      </c>
      <c r="H32" s="10">
        <v>2008.2</v>
      </c>
      <c r="I32" s="9">
        <v>4463.2</v>
      </c>
      <c r="J32" s="9">
        <v>1400</v>
      </c>
      <c r="K32" s="9">
        <v>0</v>
      </c>
      <c r="L32" s="9">
        <v>2811.48</v>
      </c>
      <c r="M32" s="9">
        <v>2317.68</v>
      </c>
      <c r="N32" s="9">
        <f t="shared" si="6"/>
        <v>4701.469499999999</v>
      </c>
      <c r="O32" s="9">
        <f t="shared" si="7"/>
        <v>20522.9112</v>
      </c>
      <c r="P32" s="8">
        <f t="shared" si="8"/>
        <v>10820.218799999999</v>
      </c>
    </row>
    <row r="33" spans="1:16" ht="14.25">
      <c r="A33" s="24" t="s">
        <v>24</v>
      </c>
      <c r="B33" s="22"/>
      <c r="C33" s="23"/>
      <c r="D33" s="12">
        <f>600+900+900+900</f>
        <v>3300</v>
      </c>
      <c r="E33" s="12">
        <v>0</v>
      </c>
      <c r="F33" s="15">
        <f t="shared" si="4"/>
        <v>3300</v>
      </c>
      <c r="G33" s="10">
        <f>SUM((F33*0.06))</f>
        <v>198</v>
      </c>
      <c r="H33" s="10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f t="shared" si="6"/>
        <v>495</v>
      </c>
      <c r="O33" s="9">
        <f t="shared" si="7"/>
        <v>693</v>
      </c>
      <c r="P33" s="8">
        <f t="shared" si="8"/>
        <v>2607</v>
      </c>
    </row>
    <row r="34" spans="1:16" ht="12.75">
      <c r="A34" s="18" t="s">
        <v>11</v>
      </c>
      <c r="B34" s="18"/>
      <c r="C34" s="18"/>
      <c r="D34" s="16">
        <f>SUM(D21:D33)</f>
        <v>174846.4</v>
      </c>
      <c r="E34" s="16">
        <f>SUM(E21:E33)</f>
        <v>116228.9</v>
      </c>
      <c r="F34" s="19">
        <f>SUM(F20:F33)</f>
        <v>92819.03</v>
      </c>
      <c r="G34" s="16">
        <f aca="true" t="shared" si="9" ref="G34:O34">SUM(G21:G33)</f>
        <v>26097.776999999995</v>
      </c>
      <c r="H34" s="16">
        <f t="shared" si="9"/>
        <v>20082.000000000004</v>
      </c>
      <c r="I34" s="16">
        <f t="shared" si="9"/>
        <v>53558.39999999999</v>
      </c>
      <c r="J34" s="16">
        <f t="shared" si="9"/>
        <v>9000</v>
      </c>
      <c r="K34" s="16">
        <f t="shared" si="9"/>
        <v>25364</v>
      </c>
      <c r="L34" s="16">
        <f t="shared" si="9"/>
        <v>33737.76</v>
      </c>
      <c r="M34" s="16">
        <f t="shared" si="9"/>
        <v>31066.72</v>
      </c>
      <c r="N34" s="16">
        <f t="shared" si="9"/>
        <v>43661.295</v>
      </c>
      <c r="O34" s="16">
        <f t="shared" si="9"/>
        <v>242567.952</v>
      </c>
      <c r="P34" s="20">
        <f t="shared" si="8"/>
        <v>-149748.922</v>
      </c>
    </row>
    <row r="37" spans="4:7" ht="12.75">
      <c r="D37" t="s">
        <v>15</v>
      </c>
      <c r="E37" t="s">
        <v>41</v>
      </c>
      <c r="F37" t="s">
        <v>42</v>
      </c>
      <c r="G37" s="21"/>
    </row>
    <row r="38" spans="4:8" ht="12.75">
      <c r="D38" t="s">
        <v>18</v>
      </c>
      <c r="E38" t="s">
        <v>43</v>
      </c>
      <c r="F38" t="s">
        <v>44</v>
      </c>
      <c r="H38" s="21"/>
    </row>
    <row r="39" spans="4:8" ht="12.75">
      <c r="D39" t="s">
        <v>19</v>
      </c>
      <c r="E39" t="s">
        <v>45</v>
      </c>
      <c r="F39" t="s">
        <v>46</v>
      </c>
      <c r="H39" s="21"/>
    </row>
    <row r="40" ht="12.75">
      <c r="H40" s="21"/>
    </row>
    <row r="42" spans="6:13" ht="12.75">
      <c r="F42" s="1" t="s">
        <v>7</v>
      </c>
      <c r="G42" s="1"/>
      <c r="H42" s="1"/>
      <c r="I42" s="1"/>
      <c r="J42" s="1"/>
      <c r="K42" s="1"/>
      <c r="L42" s="1"/>
      <c r="M42" s="1"/>
    </row>
    <row r="43" ht="12.75">
      <c r="N43" s="21"/>
    </row>
  </sheetData>
  <sheetProtection/>
  <mergeCells count="34">
    <mergeCell ref="A3:D3"/>
    <mergeCell ref="N19:N20"/>
    <mergeCell ref="A25:B25"/>
    <mergeCell ref="A7:D7"/>
    <mergeCell ref="A32:B32"/>
    <mergeCell ref="G18:G20"/>
    <mergeCell ref="M19:M20"/>
    <mergeCell ref="A10:D10"/>
    <mergeCell ref="D18:F18"/>
    <mergeCell ref="L19:L20"/>
    <mergeCell ref="A11:D11"/>
    <mergeCell ref="A4:D4"/>
    <mergeCell ref="H18:H20"/>
    <mergeCell ref="L18:N18"/>
    <mergeCell ref="A9:D9"/>
    <mergeCell ref="A8:D8"/>
    <mergeCell ref="A1:P1"/>
    <mergeCell ref="O18:O20"/>
    <mergeCell ref="A6:D6"/>
    <mergeCell ref="I18:I20"/>
    <mergeCell ref="J18:J20"/>
    <mergeCell ref="A30:B30"/>
    <mergeCell ref="A2:D2"/>
    <mergeCell ref="E2:G2"/>
    <mergeCell ref="H2:J2"/>
    <mergeCell ref="K2:M2"/>
    <mergeCell ref="A12:D12"/>
    <mergeCell ref="A31:B31"/>
    <mergeCell ref="A5:D5"/>
    <mergeCell ref="A14:D14"/>
    <mergeCell ref="K18:K20"/>
    <mergeCell ref="A13:D13"/>
    <mergeCell ref="A17:P17"/>
    <mergeCell ref="P18:P20"/>
  </mergeCells>
  <printOptions/>
  <pageMargins left="0.2604166666666667" right="0.1875" top="0.75" bottom="0.75" header="0.3" footer="0.3"/>
  <pageSetup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User</cp:lastModifiedBy>
  <cp:lastPrinted>2015-08-13T07:32:02Z</cp:lastPrinted>
  <dcterms:created xsi:type="dcterms:W3CDTF">2007-02-04T12:22:59Z</dcterms:created>
  <dcterms:modified xsi:type="dcterms:W3CDTF">2016-02-03T04:47:31Z</dcterms:modified>
  <cp:category/>
  <cp:version/>
  <cp:contentType/>
  <cp:contentStatus/>
</cp:coreProperties>
</file>