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5" sheetId="1" r:id="rId1"/>
  </sheets>
  <definedNames>
    <definedName name="_xlnm.Print_Area" localSheetId="0">'2015'!#REF!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3858р-покраска двери, побелка бордюров+материалы</t>
        </r>
      </text>
    </comment>
    <comment ref="M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578р-краска
4592,25-дезинсекция
</t>
        </r>
      </text>
    </comment>
    <comment ref="M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4000р-дезинсекция
1432р-изоляция</t>
        </r>
      </text>
    </comment>
    <comment ref="M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замена доводчика-2250р</t>
        </r>
      </text>
    </comment>
  </commentList>
</comments>
</file>

<file path=xl/sharedStrings.xml><?xml version="1.0" encoding="utf-8"?>
<sst xmlns="http://schemas.openxmlformats.org/spreadsheetml/2006/main" count="77" uniqueCount="55">
  <si>
    <t>ноябрь</t>
  </si>
  <si>
    <t xml:space="preserve">Поступило </t>
  </si>
  <si>
    <t>Площадь</t>
  </si>
  <si>
    <t xml:space="preserve">Кол-во </t>
  </si>
  <si>
    <t>квар.</t>
  </si>
  <si>
    <t>Расходы</t>
  </si>
  <si>
    <t>Содержание</t>
  </si>
  <si>
    <t>Ген. директор ООО "Георгиевск - ЖЭУ"                                            Никишина И.М.</t>
  </si>
  <si>
    <t>декабрь</t>
  </si>
  <si>
    <t>март</t>
  </si>
  <si>
    <t>апрель</t>
  </si>
  <si>
    <t>содер</t>
  </si>
  <si>
    <t>ремонт</t>
  </si>
  <si>
    <t>итого</t>
  </si>
  <si>
    <t>янв</t>
  </si>
  <si>
    <t>май</t>
  </si>
  <si>
    <t>июнь</t>
  </si>
  <si>
    <t>февраль</t>
  </si>
  <si>
    <t>июль</t>
  </si>
  <si>
    <t>август</t>
  </si>
  <si>
    <t>сентябрь</t>
  </si>
  <si>
    <t>октябрь</t>
  </si>
  <si>
    <t>ростелеком</t>
  </si>
  <si>
    <t>краска</t>
  </si>
  <si>
    <t>дезинсекция</t>
  </si>
  <si>
    <t>Учет доходов и расходов по Мира 12/4 на 2015 год</t>
  </si>
  <si>
    <t>Доходы и расходы по воде и стокам</t>
  </si>
  <si>
    <t>Вода</t>
  </si>
  <si>
    <t>Стоки ХВС, ГВС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</si>
  <si>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</si>
  <si>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</si>
  <si>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</si>
  <si>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</si>
  <si>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</si>
  <si>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</si>
  <si>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</si>
  <si>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</si>
  <si>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Обслуживание приборов учета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</si>
  <si>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</si>
  <si>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</si>
  <si>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</si>
  <si>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</si>
  <si>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Остаток на конец</t>
  </si>
  <si>
    <t>Капитальный ремонт</t>
  </si>
  <si>
    <t>3858р</t>
  </si>
  <si>
    <t>покраска двери,побелка бордюров+материалы</t>
  </si>
  <si>
    <t>ростелеком+1 со 2 кв.</t>
  </si>
  <si>
    <t>578р</t>
  </si>
  <si>
    <t>4592,25р</t>
  </si>
  <si>
    <t>4000р</t>
  </si>
  <si>
    <t>1432р</t>
  </si>
  <si>
    <t>изоляция</t>
  </si>
  <si>
    <t>2250р</t>
  </si>
  <si>
    <t>замена доводчика</t>
  </si>
  <si>
    <t>ИТОГО за 2015 год: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</si>
</sst>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0.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2" fontId="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64" fontId="1" fillId="34" borderId="14" xfId="0" applyNumberFormat="1" applyFon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5" borderId="14" xfId="0" applyFill="1" applyBorder="1" applyAlignment="1">
      <alignment/>
    </xf>
    <xf numFmtId="2" fontId="0" fillId="37" borderId="15" xfId="0" applyNumberForma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0" fontId="0" fillId="37" borderId="12" xfId="0" applyFont="1" applyFill="1" applyBorder="1" applyAlignment="1">
      <alignment/>
    </xf>
    <xf numFmtId="1" fontId="0" fillId="37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2" fillId="38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6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12" xfId="0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2" fontId="0" fillId="0" borderId="24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6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73" fontId="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9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2.875" style="0" customWidth="1"/>
    <col min="2" max="2" width="2.75390625" style="0" customWidth="1"/>
    <col min="3" max="3" width="1.12109375" style="0" customWidth="1"/>
    <col min="4" max="4" width="9.875" style="0" customWidth="1"/>
    <col min="5" max="5" width="9.75390625" style="0" customWidth="1"/>
    <col min="6" max="6" width="9.375" style="0" customWidth="1"/>
    <col min="7" max="8" width="9.875" style="0" customWidth="1"/>
    <col min="9" max="9" width="10.00390625" style="0" customWidth="1"/>
    <col min="10" max="10" width="9.875" style="0" customWidth="1"/>
    <col min="11" max="11" width="10.00390625" style="0" customWidth="1"/>
    <col min="13" max="13" width="9.625" style="0" bestFit="1" customWidth="1"/>
    <col min="15" max="15" width="9.75390625" style="0" customWidth="1"/>
    <col min="16" max="16" width="11.00390625" style="0" customWidth="1"/>
    <col min="17" max="17" width="12.125" style="0" customWidth="1"/>
  </cols>
  <sheetData>
    <row r="1" spans="1:17" ht="12.7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3" ht="12.75">
      <c r="A2" s="52"/>
      <c r="B2" s="52"/>
      <c r="C2" s="52"/>
      <c r="D2" s="52"/>
      <c r="E2" s="75" t="s">
        <v>27</v>
      </c>
      <c r="F2" s="75"/>
      <c r="G2" s="75"/>
      <c r="H2" s="76" t="s">
        <v>28</v>
      </c>
      <c r="I2" s="76"/>
      <c r="J2" s="76"/>
      <c r="K2" s="77" t="s">
        <v>29</v>
      </c>
      <c r="L2" s="77"/>
      <c r="M2" s="77"/>
    </row>
    <row r="3" spans="1:13" ht="12.75">
      <c r="A3" s="52"/>
      <c r="B3" s="52"/>
      <c r="C3" s="52"/>
      <c r="D3" s="52"/>
      <c r="E3" s="35" t="s">
        <v>30</v>
      </c>
      <c r="F3" s="35" t="s">
        <v>31</v>
      </c>
      <c r="G3" s="35" t="s">
        <v>32</v>
      </c>
      <c r="H3" s="36" t="s">
        <v>30</v>
      </c>
      <c r="I3" s="36" t="s">
        <v>31</v>
      </c>
      <c r="J3" s="36" t="s">
        <v>32</v>
      </c>
      <c r="K3" s="37" t="s">
        <v>30</v>
      </c>
      <c r="L3" s="37" t="s">
        <v>31</v>
      </c>
      <c r="M3" s="37" t="s">
        <v>32</v>
      </c>
    </row>
    <row r="4" spans="1:15" ht="12.75">
      <c r="A4" s="56" t="s">
        <v>9</v>
      </c>
      <c r="B4" s="56"/>
      <c r="C4" s="56"/>
      <c r="D4" s="56"/>
      <c r="E4" s="38">
        <v>20360.56</v>
      </c>
      <c r="F4" s="38">
        <v>0</v>
      </c>
      <c r="G4" s="38">
        <f>E4-F4</f>
        <v>20360.56</v>
      </c>
      <c r="H4" s="39">
        <f>10702.25+5507.52</f>
        <v>16209.77</v>
      </c>
      <c r="I4" s="39">
        <v>0</v>
      </c>
      <c r="J4" s="39">
        <f>H4-I4</f>
        <v>16209.77</v>
      </c>
      <c r="K4" s="40">
        <v>974.39</v>
      </c>
      <c r="L4" s="40">
        <v>0</v>
      </c>
      <c r="M4" s="40">
        <f>K4-L4</f>
        <v>974.39</v>
      </c>
      <c r="O4" s="41"/>
    </row>
    <row r="5" spans="1:15" ht="12.75">
      <c r="A5" s="57" t="s">
        <v>10</v>
      </c>
      <c r="B5" s="57"/>
      <c r="C5" s="57"/>
      <c r="D5" s="58"/>
      <c r="E5" s="38">
        <v>21616.4</v>
      </c>
      <c r="F5" s="38">
        <f>11094.95+1384.11+132.24</f>
        <v>12611.300000000001</v>
      </c>
      <c r="G5" s="38">
        <f>E5-F5</f>
        <v>9005.1</v>
      </c>
      <c r="H5" s="39">
        <v>11362.36</v>
      </c>
      <c r="I5" s="39">
        <f>5831.89+727.54+69.51</f>
        <v>6628.9400000000005</v>
      </c>
      <c r="J5" s="39">
        <f aca="true" t="shared" si="0" ref="J5:J13">H5-I5</f>
        <v>4733.42</v>
      </c>
      <c r="K5" s="40">
        <v>1966.14</v>
      </c>
      <c r="L5" s="40">
        <f>605.79+79.36+6.61</f>
        <v>691.76</v>
      </c>
      <c r="M5" s="40">
        <f aca="true" t="shared" si="1" ref="M5:M13">K5-L5</f>
        <v>1274.38</v>
      </c>
      <c r="O5" s="41"/>
    </row>
    <row r="6" spans="1:15" ht="12.75">
      <c r="A6" s="57" t="s">
        <v>15</v>
      </c>
      <c r="B6" s="57"/>
      <c r="C6" s="57"/>
      <c r="D6" s="58"/>
      <c r="E6" s="38">
        <v>18163.17</v>
      </c>
      <c r="F6" s="38">
        <f>8035.35+2164.33</f>
        <v>10199.68</v>
      </c>
      <c r="G6" s="38">
        <f aca="true" t="shared" si="2" ref="G6:G13">E6-F6</f>
        <v>7963.489999999998</v>
      </c>
      <c r="H6" s="39">
        <f>9547.22+6590.91</f>
        <v>16138.13</v>
      </c>
      <c r="I6" s="39">
        <f>4223.66+1183.99+3908.78+509.74+23.17</f>
        <v>9849.34</v>
      </c>
      <c r="J6" s="39">
        <f t="shared" si="0"/>
        <v>6288.789999999999</v>
      </c>
      <c r="K6" s="40">
        <v>4493.82</v>
      </c>
      <c r="L6" s="40">
        <f>1018.11+203.19+13.22</f>
        <v>1234.52</v>
      </c>
      <c r="M6" s="40">
        <f t="shared" si="1"/>
        <v>3259.2999999999997</v>
      </c>
      <c r="O6" s="41"/>
    </row>
    <row r="7" spans="1:15" ht="12.75">
      <c r="A7" s="57" t="s">
        <v>16</v>
      </c>
      <c r="B7" s="57"/>
      <c r="C7" s="57"/>
      <c r="D7" s="58"/>
      <c r="E7" s="38">
        <v>21048.21</v>
      </c>
      <c r="F7" s="38">
        <f>13832.55+2133.48</f>
        <v>15966.029999999999</v>
      </c>
      <c r="G7" s="38">
        <f t="shared" si="2"/>
        <v>5082.18</v>
      </c>
      <c r="H7" s="39">
        <f>11063.7+5882.84</f>
        <v>16946.54</v>
      </c>
      <c r="I7" s="39">
        <f>7113.21+1098.26+5199.34+780.83</f>
        <v>14191.64</v>
      </c>
      <c r="J7" s="39">
        <f t="shared" si="0"/>
        <v>2754.9000000000015</v>
      </c>
      <c r="K7" s="40">
        <v>4826.88</v>
      </c>
      <c r="L7" s="40">
        <f>2913.15+650.15+29.97</f>
        <v>3593.27</v>
      </c>
      <c r="M7" s="40">
        <f t="shared" si="1"/>
        <v>1233.6100000000001</v>
      </c>
      <c r="O7" s="41"/>
    </row>
    <row r="8" spans="1:15" ht="12.75">
      <c r="A8" s="57" t="s">
        <v>18</v>
      </c>
      <c r="B8" s="57"/>
      <c r="C8" s="57"/>
      <c r="D8" s="58"/>
      <c r="E8" s="38">
        <v>23078.31</v>
      </c>
      <c r="F8" s="38">
        <f>15807.14+3015.07+1005.04</f>
        <v>19827.25</v>
      </c>
      <c r="G8" s="38">
        <f t="shared" si="2"/>
        <v>3251.0600000000013</v>
      </c>
      <c r="H8" s="39">
        <f>12028.15+5933.78</f>
        <v>17961.93</v>
      </c>
      <c r="I8" s="39">
        <f>6469.07+1584.83+528.28+3586.71+871.19+319.75</f>
        <v>13359.83</v>
      </c>
      <c r="J8" s="39">
        <f t="shared" si="0"/>
        <v>4602.1</v>
      </c>
      <c r="K8" s="40">
        <v>6046.48</v>
      </c>
      <c r="L8" s="40">
        <f>2964.42+719.85+146.79</f>
        <v>3831.06</v>
      </c>
      <c r="M8" s="40">
        <f t="shared" si="1"/>
        <v>2215.4199999999996</v>
      </c>
      <c r="O8" s="41"/>
    </row>
    <row r="9" spans="1:15" ht="12.75">
      <c r="A9" s="57" t="s">
        <v>19</v>
      </c>
      <c r="B9" s="57"/>
      <c r="C9" s="57"/>
      <c r="D9" s="58"/>
      <c r="E9" s="38">
        <v>24325.14</v>
      </c>
      <c r="F9" s="38">
        <f>15540.37+3655.9+186</f>
        <v>19382.27</v>
      </c>
      <c r="G9" s="38">
        <f t="shared" si="2"/>
        <v>4942.869999999999</v>
      </c>
      <c r="H9" s="39">
        <f>12677.99+5898.65</f>
        <v>18576.64</v>
      </c>
      <c r="I9" s="39">
        <f>7947.88+1646.78+3642.79+833.42</f>
        <v>14070.87</v>
      </c>
      <c r="J9" s="39">
        <f t="shared" si="0"/>
        <v>4505.769999999999</v>
      </c>
      <c r="K9" s="40">
        <v>6388.16</v>
      </c>
      <c r="L9" s="40">
        <f>3820.08+958.74+240.44</f>
        <v>5019.259999999999</v>
      </c>
      <c r="M9" s="40">
        <f t="shared" si="1"/>
        <v>1368.9000000000005</v>
      </c>
      <c r="O9" s="41"/>
    </row>
    <row r="10" spans="1:15" ht="12.75">
      <c r="A10" s="57" t="s">
        <v>20</v>
      </c>
      <c r="B10" s="57"/>
      <c r="C10" s="57"/>
      <c r="D10" s="58"/>
      <c r="E10" s="38">
        <v>22346.59</v>
      </c>
      <c r="F10" s="38">
        <f>14737.56+3733.88</f>
        <v>18471.44</v>
      </c>
      <c r="G10" s="38">
        <f t="shared" si="2"/>
        <v>3875.1500000000015</v>
      </c>
      <c r="H10" s="39">
        <f>11646.79+6342.74</f>
        <v>17989.53</v>
      </c>
      <c r="I10" s="39">
        <f>7498.92+1847.9+3431.85+902.52</f>
        <v>13681.19</v>
      </c>
      <c r="J10" s="39">
        <f t="shared" si="0"/>
        <v>4308.339999999998</v>
      </c>
      <c r="K10" s="40">
        <v>1626.91</v>
      </c>
      <c r="L10" s="40">
        <f>4031.22+1288.46+42.84</f>
        <v>5362.52</v>
      </c>
      <c r="M10" s="40">
        <f t="shared" si="1"/>
        <v>-3735.6100000000006</v>
      </c>
      <c r="O10" s="41"/>
    </row>
    <row r="11" spans="1:15" ht="12.75">
      <c r="A11" s="57" t="s">
        <v>21</v>
      </c>
      <c r="B11" s="57"/>
      <c r="C11" s="57"/>
      <c r="D11" s="58"/>
      <c r="E11" s="38">
        <v>21369.35</v>
      </c>
      <c r="F11" s="38">
        <f>19192.45+3169.96</f>
        <v>22362.41</v>
      </c>
      <c r="G11" s="38">
        <f t="shared" si="2"/>
        <v>-993.0600000000013</v>
      </c>
      <c r="H11" s="39">
        <f>11137.46+7404.05</f>
        <v>18541.51</v>
      </c>
      <c r="I11" s="39">
        <f>10771.06+1671.68+5155.27+1003.48</f>
        <v>18601.49</v>
      </c>
      <c r="J11" s="39">
        <f t="shared" si="0"/>
        <v>-59.9800000000032</v>
      </c>
      <c r="K11" s="40">
        <v>678.81</v>
      </c>
      <c r="L11" s="40">
        <f>2442.29+424.87+11.07</f>
        <v>2878.23</v>
      </c>
      <c r="M11" s="40">
        <f t="shared" si="1"/>
        <v>-2199.42</v>
      </c>
      <c r="O11" s="41"/>
    </row>
    <row r="12" spans="1:15" ht="12.75">
      <c r="A12" s="57" t="s">
        <v>0</v>
      </c>
      <c r="B12" s="57"/>
      <c r="C12" s="57"/>
      <c r="D12" s="58"/>
      <c r="E12" s="38">
        <v>22351.41</v>
      </c>
      <c r="F12" s="38">
        <f>12050.45+3539.8</f>
        <v>15590.25</v>
      </c>
      <c r="G12" s="38">
        <f t="shared" si="2"/>
        <v>6761.16</v>
      </c>
      <c r="H12" s="39">
        <f>11649.3+6696.52</f>
        <v>18345.82</v>
      </c>
      <c r="I12" s="39">
        <f>6049.21+1820.2+3903.99+1207.81</f>
        <v>12981.21</v>
      </c>
      <c r="J12" s="39">
        <f t="shared" si="0"/>
        <v>5364.610000000001</v>
      </c>
      <c r="K12" s="40">
        <v>129.6</v>
      </c>
      <c r="L12" s="40">
        <f>374.53+297.67</f>
        <v>672.2</v>
      </c>
      <c r="M12" s="40">
        <f t="shared" si="1"/>
        <v>-542.6</v>
      </c>
      <c r="O12" s="41"/>
    </row>
    <row r="13" spans="1:15" ht="12.75">
      <c r="A13" s="57" t="s">
        <v>8</v>
      </c>
      <c r="B13" s="57"/>
      <c r="C13" s="57"/>
      <c r="D13" s="58"/>
      <c r="E13" s="38">
        <v>19852.94</v>
      </c>
      <c r="F13" s="38">
        <f>13962.76+3718.66</f>
        <v>17681.42</v>
      </c>
      <c r="G13" s="38">
        <f t="shared" si="2"/>
        <v>2171.5200000000004</v>
      </c>
      <c r="H13" s="39">
        <f>10347.13+6899.75</f>
        <v>17246.879999999997</v>
      </c>
      <c r="I13" s="39">
        <f>7110.51+1972.95+4240.41+1010.97</f>
        <v>14334.84</v>
      </c>
      <c r="J13" s="39">
        <f t="shared" si="0"/>
        <v>2912.0399999999972</v>
      </c>
      <c r="K13" s="40">
        <v>799.21</v>
      </c>
      <c r="L13" s="40">
        <f>515.38+215.36</f>
        <v>730.74</v>
      </c>
      <c r="M13" s="40">
        <f t="shared" si="1"/>
        <v>68.47000000000003</v>
      </c>
      <c r="O13" s="41"/>
    </row>
    <row r="14" spans="1:13" ht="12.75">
      <c r="A14" s="57" t="s">
        <v>33</v>
      </c>
      <c r="B14" s="57"/>
      <c r="C14" s="57"/>
      <c r="D14" s="58"/>
      <c r="E14" s="42">
        <f aca="true" t="shared" si="3" ref="E14:M14">SUM(E4:E13)</f>
        <v>214512.08000000002</v>
      </c>
      <c r="F14" s="42">
        <f t="shared" si="3"/>
        <v>152092.05</v>
      </c>
      <c r="G14" s="42">
        <f t="shared" si="3"/>
        <v>62420.03</v>
      </c>
      <c r="H14" s="42">
        <f t="shared" si="3"/>
        <v>169319.11000000002</v>
      </c>
      <c r="I14" s="42">
        <f t="shared" si="3"/>
        <v>117699.35</v>
      </c>
      <c r="J14" s="42">
        <f t="shared" si="3"/>
        <v>51619.759999999995</v>
      </c>
      <c r="K14" s="42">
        <f t="shared" si="3"/>
        <v>27930.399999999998</v>
      </c>
      <c r="L14" s="42">
        <f t="shared" si="3"/>
        <v>24013.56</v>
      </c>
      <c r="M14" s="42">
        <f t="shared" si="3"/>
        <v>3916.8399999999992</v>
      </c>
    </row>
    <row r="18" spans="1:17" ht="12.75">
      <c r="A18" s="51" t="s">
        <v>25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6"/>
    </row>
    <row r="19" spans="2:17" ht="31.5" customHeight="1">
      <c r="B19" s="2" t="s">
        <v>2</v>
      </c>
      <c r="C19" s="3" t="s">
        <v>3</v>
      </c>
      <c r="D19" s="47" t="s">
        <v>1</v>
      </c>
      <c r="E19" s="48"/>
      <c r="F19" s="49"/>
      <c r="G19" s="63" t="s">
        <v>34</v>
      </c>
      <c r="H19" s="66" t="s">
        <v>35</v>
      </c>
      <c r="I19" s="66" t="s">
        <v>36</v>
      </c>
      <c r="J19" s="66" t="s">
        <v>37</v>
      </c>
      <c r="K19" s="66" t="s">
        <v>38</v>
      </c>
      <c r="L19" s="47" t="s">
        <v>6</v>
      </c>
      <c r="M19" s="48"/>
      <c r="N19" s="49"/>
      <c r="O19" s="60" t="s">
        <v>5</v>
      </c>
      <c r="P19" s="69" t="s">
        <v>42</v>
      </c>
      <c r="Q19" s="72" t="s">
        <v>43</v>
      </c>
    </row>
    <row r="20" spans="2:17" ht="42.75" customHeight="1" thickBot="1">
      <c r="B20" s="4"/>
      <c r="C20" s="5" t="s">
        <v>4</v>
      </c>
      <c r="D20" s="6" t="s">
        <v>11</v>
      </c>
      <c r="E20" s="6" t="s">
        <v>12</v>
      </c>
      <c r="F20" s="6" t="s">
        <v>13</v>
      </c>
      <c r="G20" s="64"/>
      <c r="H20" s="67"/>
      <c r="I20" s="67"/>
      <c r="J20" s="67"/>
      <c r="K20" s="67"/>
      <c r="L20" s="66" t="s">
        <v>39</v>
      </c>
      <c r="M20" s="66" t="s">
        <v>40</v>
      </c>
      <c r="N20" s="66" t="s">
        <v>41</v>
      </c>
      <c r="O20" s="61"/>
      <c r="P20" s="70"/>
      <c r="Q20" s="73"/>
    </row>
    <row r="21" spans="2:17" ht="13.5" thickBot="1">
      <c r="B21" s="4"/>
      <c r="C21" s="5"/>
      <c r="D21" s="6"/>
      <c r="E21" s="18"/>
      <c r="F21" s="20">
        <v>-54465.07</v>
      </c>
      <c r="G21" s="65"/>
      <c r="H21" s="68"/>
      <c r="I21" s="68"/>
      <c r="J21" s="68"/>
      <c r="K21" s="68"/>
      <c r="L21" s="68"/>
      <c r="M21" s="68"/>
      <c r="N21" s="68"/>
      <c r="O21" s="62"/>
      <c r="P21" s="71"/>
      <c r="Q21" s="23">
        <v>0</v>
      </c>
    </row>
    <row r="22" spans="1:17" ht="12.75">
      <c r="A22" s="8" t="s">
        <v>14</v>
      </c>
      <c r="B22" s="9">
        <v>3193.6</v>
      </c>
      <c r="C22" s="10">
        <v>120</v>
      </c>
      <c r="D22" s="12">
        <f>10881.69+1052.45</f>
        <v>11934.140000000001</v>
      </c>
      <c r="E22" s="12">
        <f>13944.01+1227.8</f>
        <v>15171.81</v>
      </c>
      <c r="F22" s="19">
        <f aca="true" t="shared" si="4" ref="F22:F34">SUM(D22:E22)</f>
        <v>27105.95</v>
      </c>
      <c r="G22" s="11">
        <f aca="true" t="shared" si="5" ref="G22:G33">F22*0.09</f>
        <v>2439.5355</v>
      </c>
      <c r="H22" s="11">
        <v>0</v>
      </c>
      <c r="I22" s="11">
        <v>9051.94</v>
      </c>
      <c r="J22" s="11">
        <v>1200</v>
      </c>
      <c r="K22" s="11">
        <f>13182+9050</f>
        <v>22232</v>
      </c>
      <c r="L22" s="11">
        <f>B22*1.4</f>
        <v>4471.04</v>
      </c>
      <c r="M22" s="11">
        <v>5328</v>
      </c>
      <c r="N22" s="11">
        <f aca="true" t="shared" si="6" ref="N22:N34">F22*0.15</f>
        <v>4065.8925</v>
      </c>
      <c r="O22" s="11">
        <f aca="true" t="shared" si="7" ref="O22:O33">G22+H22+I22+J22+K22+L22+M22+N22</f>
        <v>48788.408</v>
      </c>
      <c r="P22" s="7">
        <f aca="true" t="shared" si="8" ref="P22:P35">F22-O22</f>
        <v>-21682.458000000002</v>
      </c>
      <c r="Q22" s="22">
        <f>480.3+100.8</f>
        <v>581.1</v>
      </c>
    </row>
    <row r="23" spans="1:18" ht="12.75">
      <c r="A23" s="8" t="s">
        <v>17</v>
      </c>
      <c r="B23" s="9"/>
      <c r="C23" s="10"/>
      <c r="D23" s="12">
        <f>13963.6+1352.35</f>
        <v>15315.95</v>
      </c>
      <c r="E23" s="12">
        <f>13981.2+1577.8</f>
        <v>15559</v>
      </c>
      <c r="F23" s="19">
        <f t="shared" si="4"/>
        <v>30874.95</v>
      </c>
      <c r="G23" s="11">
        <f t="shared" si="5"/>
        <v>2778.7455</v>
      </c>
      <c r="H23" s="11">
        <v>0</v>
      </c>
      <c r="I23" s="11">
        <v>9051.94</v>
      </c>
      <c r="J23" s="11">
        <v>1200</v>
      </c>
      <c r="K23" s="11">
        <v>0</v>
      </c>
      <c r="L23" s="11">
        <v>4471.04</v>
      </c>
      <c r="M23" s="11">
        <v>5328</v>
      </c>
      <c r="N23" s="11">
        <f t="shared" si="6"/>
        <v>4631.2425</v>
      </c>
      <c r="O23" s="11">
        <f t="shared" si="7"/>
        <v>27460.968</v>
      </c>
      <c r="P23" s="7">
        <f t="shared" si="8"/>
        <v>3413.982</v>
      </c>
      <c r="Q23" s="22">
        <v>949.6</v>
      </c>
      <c r="R23" s="1"/>
    </row>
    <row r="24" spans="1:17" ht="12.75">
      <c r="A24" s="53" t="s">
        <v>9</v>
      </c>
      <c r="B24" s="54"/>
      <c r="C24" s="55"/>
      <c r="D24" s="12">
        <f>17737.51+2328.6</f>
        <v>20066.109999999997</v>
      </c>
      <c r="E24" s="12">
        <f>18952.87+2746.7</f>
        <v>21699.57</v>
      </c>
      <c r="F24" s="19">
        <f t="shared" si="4"/>
        <v>41765.67999999999</v>
      </c>
      <c r="G24" s="11">
        <f t="shared" si="5"/>
        <v>3758.911199999999</v>
      </c>
      <c r="H24" s="11">
        <v>3193.6</v>
      </c>
      <c r="I24" s="11">
        <v>9051.94</v>
      </c>
      <c r="J24" s="11">
        <v>1200</v>
      </c>
      <c r="K24" s="11">
        <f>7769+605+495</f>
        <v>8869</v>
      </c>
      <c r="L24" s="11">
        <v>4471.04</v>
      </c>
      <c r="M24" s="11">
        <v>5328</v>
      </c>
      <c r="N24" s="11">
        <f t="shared" si="6"/>
        <v>6264.851999999999</v>
      </c>
      <c r="O24" s="11">
        <f t="shared" si="7"/>
        <v>42137.3432</v>
      </c>
      <c r="P24" s="7">
        <f t="shared" si="8"/>
        <v>-371.66320000000997</v>
      </c>
      <c r="Q24" s="22">
        <v>406</v>
      </c>
    </row>
    <row r="25" spans="1:17" ht="12.75">
      <c r="A25" s="8" t="s">
        <v>10</v>
      </c>
      <c r="B25" s="9"/>
      <c r="C25" s="10"/>
      <c r="D25" s="12">
        <f>21465.37+3659.76</f>
        <v>25125.129999999997</v>
      </c>
      <c r="E25" s="12">
        <f>33214.54+3510.4</f>
        <v>36724.94</v>
      </c>
      <c r="F25" s="19">
        <f t="shared" si="4"/>
        <v>61850.07</v>
      </c>
      <c r="G25" s="11">
        <f t="shared" si="5"/>
        <v>5566.5063</v>
      </c>
      <c r="H25" s="11">
        <v>3193.6</v>
      </c>
      <c r="I25" s="11">
        <v>9051.94</v>
      </c>
      <c r="J25" s="11">
        <v>1200</v>
      </c>
      <c r="K25" s="11">
        <v>913</v>
      </c>
      <c r="L25" s="11">
        <v>4471.04</v>
      </c>
      <c r="M25" s="11">
        <f>5328+3858</f>
        <v>9186</v>
      </c>
      <c r="N25" s="11">
        <f t="shared" si="6"/>
        <v>9277.5105</v>
      </c>
      <c r="O25" s="11">
        <f t="shared" si="7"/>
        <v>42859.5968</v>
      </c>
      <c r="P25" s="7">
        <f t="shared" si="8"/>
        <v>18990.4732</v>
      </c>
      <c r="Q25" s="22">
        <v>420.5</v>
      </c>
    </row>
    <row r="26" spans="1:17" ht="12.75">
      <c r="A26" s="53" t="s">
        <v>15</v>
      </c>
      <c r="B26" s="54"/>
      <c r="C26" s="55"/>
      <c r="D26" s="12">
        <f>15514.95+3667.4+170.4</f>
        <v>19352.750000000004</v>
      </c>
      <c r="E26" s="12">
        <f>13818.94+3352.3+149.1</f>
        <v>17320.34</v>
      </c>
      <c r="F26" s="19">
        <f t="shared" si="4"/>
        <v>36673.090000000004</v>
      </c>
      <c r="G26" s="11">
        <f t="shared" si="5"/>
        <v>3300.5781</v>
      </c>
      <c r="H26" s="11">
        <v>3193.6</v>
      </c>
      <c r="I26" s="11">
        <v>9051.94</v>
      </c>
      <c r="J26" s="11">
        <v>0</v>
      </c>
      <c r="K26" s="11">
        <f>512+24302</f>
        <v>24814</v>
      </c>
      <c r="L26" s="11">
        <v>4471.04</v>
      </c>
      <c r="M26" s="11">
        <v>5328</v>
      </c>
      <c r="N26" s="11">
        <f t="shared" si="6"/>
        <v>5500.963500000001</v>
      </c>
      <c r="O26" s="11">
        <f t="shared" si="7"/>
        <v>55660.1216</v>
      </c>
      <c r="P26" s="7">
        <f t="shared" si="8"/>
        <v>-18987.031599999995</v>
      </c>
      <c r="Q26" s="22">
        <f>1520.4+60</f>
        <v>1580.4</v>
      </c>
    </row>
    <row r="27" spans="1:17" ht="12.75">
      <c r="A27" s="53" t="s">
        <v>16</v>
      </c>
      <c r="B27" s="54"/>
      <c r="C27" s="55"/>
      <c r="D27" s="12">
        <f>22729.17+4027.2+170.4</f>
        <v>26926.77</v>
      </c>
      <c r="E27" s="12">
        <f>21321.17+3523.8+149.1</f>
        <v>24994.069999999996</v>
      </c>
      <c r="F27" s="19">
        <f t="shared" si="4"/>
        <v>51920.84</v>
      </c>
      <c r="G27" s="11">
        <f t="shared" si="5"/>
        <v>4672.875599999999</v>
      </c>
      <c r="H27" s="11">
        <v>3193.6</v>
      </c>
      <c r="I27" s="11">
        <v>9051.94</v>
      </c>
      <c r="J27" s="11">
        <v>0</v>
      </c>
      <c r="K27" s="11">
        <f>7925+1258</f>
        <v>9183</v>
      </c>
      <c r="L27" s="11">
        <v>4471.04</v>
      </c>
      <c r="M27" s="11">
        <v>5328</v>
      </c>
      <c r="N27" s="11">
        <f t="shared" si="6"/>
        <v>7788.125999999999</v>
      </c>
      <c r="O27" s="11">
        <f t="shared" si="7"/>
        <v>43688.5816</v>
      </c>
      <c r="P27" s="7">
        <f t="shared" si="8"/>
        <v>8232.258399999999</v>
      </c>
      <c r="Q27" s="22">
        <f>260.4+715.2</f>
        <v>975.6</v>
      </c>
    </row>
    <row r="28" spans="1:17" ht="12.75">
      <c r="A28" s="53" t="s">
        <v>18</v>
      </c>
      <c r="B28" s="54"/>
      <c r="C28" s="55"/>
      <c r="D28" s="12">
        <f>20773.59+4256.8+10095.11</f>
        <v>35125.5</v>
      </c>
      <c r="E28" s="12">
        <f>20307.1+3849.7+268.3</f>
        <v>24425.1</v>
      </c>
      <c r="F28" s="19">
        <f t="shared" si="4"/>
        <v>59550.6</v>
      </c>
      <c r="G28" s="11">
        <f t="shared" si="5"/>
        <v>5359.554</v>
      </c>
      <c r="H28" s="11">
        <v>3193.6</v>
      </c>
      <c r="I28" s="11">
        <v>9051.94</v>
      </c>
      <c r="J28" s="11">
        <v>0</v>
      </c>
      <c r="K28" s="11">
        <f>14870+7847</f>
        <v>22717</v>
      </c>
      <c r="L28" s="11">
        <v>4471.04</v>
      </c>
      <c r="M28" s="11">
        <f>5328+578+4592.25</f>
        <v>10498.25</v>
      </c>
      <c r="N28" s="11">
        <f t="shared" si="6"/>
        <v>8932.59</v>
      </c>
      <c r="O28" s="11">
        <f t="shared" si="7"/>
        <v>64223.974</v>
      </c>
      <c r="P28" s="7">
        <f t="shared" si="8"/>
        <v>-4673.374000000003</v>
      </c>
      <c r="Q28" s="22">
        <v>0</v>
      </c>
    </row>
    <row r="29" spans="1:17" ht="12.75">
      <c r="A29" s="45" t="s">
        <v>19</v>
      </c>
      <c r="B29" s="46"/>
      <c r="C29" s="43"/>
      <c r="D29" s="12">
        <f>20578+4156+3297</f>
        <v>28031</v>
      </c>
      <c r="E29" s="12">
        <f>17656.79+3636.5+2827.1</f>
        <v>24120.39</v>
      </c>
      <c r="F29" s="19">
        <f t="shared" si="4"/>
        <v>52151.39</v>
      </c>
      <c r="G29" s="11">
        <f t="shared" si="5"/>
        <v>4693.6251</v>
      </c>
      <c r="H29" s="11">
        <v>3193.6</v>
      </c>
      <c r="I29" s="11">
        <v>9051.94</v>
      </c>
      <c r="J29" s="11">
        <v>0</v>
      </c>
      <c r="K29" s="11">
        <f>393+420</f>
        <v>813</v>
      </c>
      <c r="L29" s="11">
        <v>4471.04</v>
      </c>
      <c r="M29" s="11">
        <v>5328</v>
      </c>
      <c r="N29" s="11">
        <f t="shared" si="6"/>
        <v>7822.7085</v>
      </c>
      <c r="O29" s="11">
        <f t="shared" si="7"/>
        <v>35373.9136</v>
      </c>
      <c r="P29" s="7">
        <f t="shared" si="8"/>
        <v>16777.4764</v>
      </c>
      <c r="Q29" s="22">
        <v>2143.39</v>
      </c>
    </row>
    <row r="30" spans="1:17" ht="12.75">
      <c r="A30" s="59" t="s">
        <v>20</v>
      </c>
      <c r="B30" s="57"/>
      <c r="C30" s="58"/>
      <c r="D30" s="12">
        <f>15741.97+5727.2+170.4</f>
        <v>21639.57</v>
      </c>
      <c r="E30" s="12">
        <f>16265.86+5073.8+149.1</f>
        <v>21488.76</v>
      </c>
      <c r="F30" s="19">
        <f t="shared" si="4"/>
        <v>43128.33</v>
      </c>
      <c r="G30" s="11">
        <f t="shared" si="5"/>
        <v>3881.5497</v>
      </c>
      <c r="H30" s="11">
        <v>3193.6</v>
      </c>
      <c r="I30" s="11">
        <v>9051.94</v>
      </c>
      <c r="J30" s="11">
        <v>0</v>
      </c>
      <c r="K30" s="11">
        <f>708+7702</f>
        <v>8410</v>
      </c>
      <c r="L30" s="11">
        <v>4471.04</v>
      </c>
      <c r="M30" s="11">
        <f>6127.2+4000+1432</f>
        <v>11559.2</v>
      </c>
      <c r="N30" s="11">
        <f t="shared" si="6"/>
        <v>6469.2495</v>
      </c>
      <c r="O30" s="11">
        <f t="shared" si="7"/>
        <v>47036.5792</v>
      </c>
      <c r="P30" s="7">
        <f t="shared" si="8"/>
        <v>-3908.2491999999984</v>
      </c>
      <c r="Q30" s="22">
        <f>1166.8</f>
        <v>1166.8</v>
      </c>
    </row>
    <row r="31" spans="1:17" ht="12.75">
      <c r="A31" s="59" t="s">
        <v>21</v>
      </c>
      <c r="B31" s="57"/>
      <c r="C31" s="58"/>
      <c r="D31" s="12">
        <f>21683.91+6265.29+170.4</f>
        <v>28119.600000000002</v>
      </c>
      <c r="E31" s="12">
        <f>19867.97+3541+149.1</f>
        <v>23558.07</v>
      </c>
      <c r="F31" s="19">
        <f t="shared" si="4"/>
        <v>51677.67</v>
      </c>
      <c r="G31" s="11">
        <f t="shared" si="5"/>
        <v>4650.9902999999995</v>
      </c>
      <c r="H31" s="11">
        <v>3193.6</v>
      </c>
      <c r="I31" s="11">
        <v>9051.94</v>
      </c>
      <c r="J31" s="11">
        <v>1400</v>
      </c>
      <c r="K31" s="11">
        <v>14273</v>
      </c>
      <c r="L31" s="11">
        <v>4471.04</v>
      </c>
      <c r="M31" s="11">
        <v>6127.2</v>
      </c>
      <c r="N31" s="11">
        <f t="shared" si="6"/>
        <v>7751.6505</v>
      </c>
      <c r="O31" s="11">
        <f t="shared" si="7"/>
        <v>50919.42079999999</v>
      </c>
      <c r="P31" s="7">
        <f t="shared" si="8"/>
        <v>758.2492000000057</v>
      </c>
      <c r="Q31" s="22">
        <v>1507.2</v>
      </c>
    </row>
    <row r="32" spans="1:17" ht="12.75">
      <c r="A32" s="45" t="s">
        <v>0</v>
      </c>
      <c r="B32" s="46"/>
      <c r="C32" s="44"/>
      <c r="D32" s="12">
        <f>17484.8+5791.2</f>
        <v>23276</v>
      </c>
      <c r="E32" s="12">
        <f>15375.47+5504.8</f>
        <v>20880.27</v>
      </c>
      <c r="F32" s="19">
        <f t="shared" si="4"/>
        <v>44156.270000000004</v>
      </c>
      <c r="G32" s="11">
        <f t="shared" si="5"/>
        <v>3974.0643</v>
      </c>
      <c r="H32" s="11">
        <v>3193.6</v>
      </c>
      <c r="I32" s="11">
        <v>9051.94</v>
      </c>
      <c r="J32" s="11">
        <v>1400</v>
      </c>
      <c r="K32" s="11">
        <v>0</v>
      </c>
      <c r="L32" s="11">
        <v>4471.04</v>
      </c>
      <c r="M32" s="11">
        <f>6127.2+2250</f>
        <v>8377.2</v>
      </c>
      <c r="N32" s="11">
        <f t="shared" si="6"/>
        <v>6623.440500000001</v>
      </c>
      <c r="O32" s="11">
        <f t="shared" si="7"/>
        <v>37091.2848</v>
      </c>
      <c r="P32" s="7">
        <f t="shared" si="8"/>
        <v>7064.985200000003</v>
      </c>
      <c r="Q32" s="22">
        <v>0</v>
      </c>
    </row>
    <row r="33" spans="1:17" ht="12.75">
      <c r="A33" s="45" t="s">
        <v>8</v>
      </c>
      <c r="B33" s="46"/>
      <c r="C33" s="44"/>
      <c r="D33" s="12">
        <f>19052.97+8127.2</f>
        <v>27180.170000000002</v>
      </c>
      <c r="E33" s="12">
        <f>16619+7496.3</f>
        <v>24115.3</v>
      </c>
      <c r="F33" s="19">
        <f t="shared" si="4"/>
        <v>51295.47</v>
      </c>
      <c r="G33" s="11">
        <f t="shared" si="5"/>
        <v>4616.5923</v>
      </c>
      <c r="H33" s="11">
        <v>3193.6</v>
      </c>
      <c r="I33" s="11">
        <v>9051.94</v>
      </c>
      <c r="J33" s="11">
        <v>1400</v>
      </c>
      <c r="K33" s="11">
        <f>2823+456+2928</f>
        <v>6207</v>
      </c>
      <c r="L33" s="11">
        <v>4471.04</v>
      </c>
      <c r="M33" s="11">
        <v>6127.2</v>
      </c>
      <c r="N33" s="11">
        <f t="shared" si="6"/>
        <v>7694.3205</v>
      </c>
      <c r="O33" s="11">
        <f t="shared" si="7"/>
        <v>42761.692800000004</v>
      </c>
      <c r="P33" s="7">
        <f t="shared" si="8"/>
        <v>8533.777199999997</v>
      </c>
      <c r="Q33" s="22">
        <v>0</v>
      </c>
    </row>
    <row r="34" spans="1:17" ht="12.75">
      <c r="A34" s="21" t="s">
        <v>22</v>
      </c>
      <c r="B34" s="25"/>
      <c r="C34" s="26"/>
      <c r="D34" s="12">
        <f>900+1800+1800+1800</f>
        <v>6300</v>
      </c>
      <c r="E34" s="12">
        <v>0</v>
      </c>
      <c r="F34" s="19">
        <f t="shared" si="4"/>
        <v>6300</v>
      </c>
      <c r="G34" s="11">
        <f>F34*0.06</f>
        <v>378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 t="shared" si="6"/>
        <v>945</v>
      </c>
      <c r="O34" s="11">
        <f>SUM(G34:N34)</f>
        <v>1323</v>
      </c>
      <c r="P34" s="7">
        <f t="shared" si="8"/>
        <v>4977</v>
      </c>
      <c r="Q34" s="13">
        <v>0</v>
      </c>
    </row>
    <row r="35" spans="1:17" ht="12.75">
      <c r="A35" s="8" t="s">
        <v>13</v>
      </c>
      <c r="B35" s="8"/>
      <c r="C35" s="8"/>
      <c r="D35" s="14">
        <f>SUM(D22:D34)</f>
        <v>288392.69</v>
      </c>
      <c r="E35" s="14">
        <f>SUM(E22:E34)</f>
        <v>270057.62000000005</v>
      </c>
      <c r="F35" s="24">
        <f>SUM(F21:F34)</f>
        <v>503985.24</v>
      </c>
      <c r="G35" s="14">
        <f aca="true" t="shared" si="9" ref="G35:O35">SUM(G22:G34)</f>
        <v>50071.5279</v>
      </c>
      <c r="H35" s="14">
        <f t="shared" si="9"/>
        <v>31935.999999999993</v>
      </c>
      <c r="I35" s="14">
        <f t="shared" si="9"/>
        <v>108623.28000000001</v>
      </c>
      <c r="J35" s="14">
        <f t="shared" si="9"/>
        <v>9000</v>
      </c>
      <c r="K35" s="14">
        <f t="shared" si="9"/>
        <v>118431</v>
      </c>
      <c r="L35" s="14">
        <f t="shared" si="9"/>
        <v>53652.48</v>
      </c>
      <c r="M35" s="14">
        <f t="shared" si="9"/>
        <v>83843.04999999999</v>
      </c>
      <c r="N35" s="14">
        <f t="shared" si="9"/>
        <v>83767.5465</v>
      </c>
      <c r="O35" s="14">
        <f t="shared" si="9"/>
        <v>539324.8844</v>
      </c>
      <c r="P35" s="17">
        <f t="shared" si="8"/>
        <v>-35339.64439999999</v>
      </c>
      <c r="Q35" s="31">
        <f>SUM(Q21:Q34)</f>
        <v>9730.59</v>
      </c>
    </row>
    <row r="36" spans="1:17" ht="12.75">
      <c r="A36" s="27"/>
      <c r="B36" s="27"/>
      <c r="C36" s="27"/>
      <c r="D36" s="29"/>
      <c r="E36" s="29"/>
      <c r="F36" s="30"/>
      <c r="G36" s="29"/>
      <c r="H36" s="29"/>
      <c r="I36" s="29"/>
      <c r="J36" s="29"/>
      <c r="K36" s="29"/>
      <c r="L36" s="29"/>
      <c r="M36" s="29"/>
      <c r="N36" s="29"/>
      <c r="O36" s="29"/>
      <c r="P36" s="28"/>
      <c r="Q36" s="32">
        <f>Q35*0.91</f>
        <v>8854.8369</v>
      </c>
    </row>
    <row r="37" spans="4:17" ht="12.75">
      <c r="D37" t="s">
        <v>10</v>
      </c>
      <c r="E37" t="s">
        <v>44</v>
      </c>
      <c r="F37" t="s">
        <v>45</v>
      </c>
      <c r="Q37" s="15"/>
    </row>
    <row r="38" spans="4:17" ht="12.75">
      <c r="D38" t="s">
        <v>18</v>
      </c>
      <c r="E38" t="s">
        <v>47</v>
      </c>
      <c r="F38" t="s">
        <v>23</v>
      </c>
      <c r="Q38" s="15"/>
    </row>
    <row r="39" spans="5:17" ht="12.75">
      <c r="E39" t="s">
        <v>48</v>
      </c>
      <c r="F39" t="s">
        <v>24</v>
      </c>
      <c r="Q39" s="15"/>
    </row>
    <row r="40" spans="4:17" ht="12.75">
      <c r="D40" t="s">
        <v>20</v>
      </c>
      <c r="E40" t="s">
        <v>49</v>
      </c>
      <c r="F40" t="s">
        <v>24</v>
      </c>
      <c r="Q40" s="15"/>
    </row>
    <row r="41" spans="5:17" ht="12.75">
      <c r="E41" t="s">
        <v>50</v>
      </c>
      <c r="F41" t="s">
        <v>51</v>
      </c>
      <c r="Q41" s="15"/>
    </row>
    <row r="42" spans="4:17" ht="12.75">
      <c r="D42" t="s">
        <v>0</v>
      </c>
      <c r="E42" t="s">
        <v>52</v>
      </c>
      <c r="F42" t="s">
        <v>53</v>
      </c>
      <c r="Q42" s="15"/>
    </row>
    <row r="43" ht="12.75">
      <c r="Q43" s="15"/>
    </row>
    <row r="44" ht="12.75">
      <c r="E44" s="34"/>
    </row>
    <row r="45" spans="4:15" ht="12.75">
      <c r="D45" t="s">
        <v>46</v>
      </c>
      <c r="O45" s="34"/>
    </row>
    <row r="46" spans="6:17" ht="25.5" customHeight="1">
      <c r="F46" s="50" t="s">
        <v>7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9" spans="12:15" ht="12.75">
      <c r="L49" s="33" t="s">
        <v>54</v>
      </c>
      <c r="M49" s="33"/>
      <c r="N49" s="78">
        <f>P35+Q36</f>
        <v>-26484.807499999988</v>
      </c>
      <c r="O49" s="78"/>
    </row>
  </sheetData>
  <sheetProtection/>
  <mergeCells count="39">
    <mergeCell ref="N49:O49"/>
    <mergeCell ref="A13:D13"/>
    <mergeCell ref="A12:D12"/>
    <mergeCell ref="A8:D8"/>
    <mergeCell ref="A1:Q1"/>
    <mergeCell ref="A2:D2"/>
    <mergeCell ref="E2:G2"/>
    <mergeCell ref="H2:J2"/>
    <mergeCell ref="K2:M2"/>
    <mergeCell ref="A26:C26"/>
    <mergeCell ref="A4:D4"/>
    <mergeCell ref="A14:D14"/>
    <mergeCell ref="N20:N21"/>
    <mergeCell ref="A3:D3"/>
    <mergeCell ref="A5:D5"/>
    <mergeCell ref="A10:D10"/>
    <mergeCell ref="A9:D9"/>
    <mergeCell ref="I19:I21"/>
    <mergeCell ref="A18:P18"/>
    <mergeCell ref="D19:F19"/>
    <mergeCell ref="A27:C27"/>
    <mergeCell ref="P19:P21"/>
    <mergeCell ref="Q19:Q20"/>
    <mergeCell ref="J19:J21"/>
    <mergeCell ref="K19:K21"/>
    <mergeCell ref="L20:L21"/>
    <mergeCell ref="M20:M21"/>
    <mergeCell ref="L19:N19"/>
    <mergeCell ref="A6:D6"/>
    <mergeCell ref="O19:O21"/>
    <mergeCell ref="F46:Q46"/>
    <mergeCell ref="G19:G21"/>
    <mergeCell ref="H19:H21"/>
    <mergeCell ref="A7:D7"/>
    <mergeCell ref="A30:C30"/>
    <mergeCell ref="A11:D11"/>
    <mergeCell ref="A31:C31"/>
    <mergeCell ref="A24:C24"/>
    <mergeCell ref="A28:C28"/>
  </mergeCells>
  <printOptions/>
  <pageMargins left="0.19791666666666666" right="0.1562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2015-08-17T06:50:12Z</cp:lastPrinted>
  <dcterms:created xsi:type="dcterms:W3CDTF">2007-02-04T12:22:59Z</dcterms:created>
  <dcterms:modified xsi:type="dcterms:W3CDTF">2016-02-03T05:04:24Z</dcterms:modified>
  <cp:category/>
  <cp:version/>
  <cp:contentType/>
  <cp:contentStatus/>
</cp:coreProperties>
</file>