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590" windowHeight="5010" activeTab="0"/>
  </bookViews>
  <sheets>
    <sheet name="2015" sheetId="1" r:id="rId1"/>
  </sheets>
  <definedNames>
    <definedName name="_xlnm.Print_Area" localSheetId="0">'2015'!#REF!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земля-7700р</t>
        </r>
      </text>
    </comment>
    <comment ref="L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3414р-краска,кисть,известь
20000р-ограждение (материалы+работа)</t>
        </r>
      </text>
    </comment>
    <comment ref="L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4500р-изготовление и установка песочницы</t>
        </r>
      </text>
    </comment>
    <comment ref="L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8000р-ремонт отмостки
11739-дезинсекция</t>
        </r>
      </text>
    </comment>
  </commentList>
</comments>
</file>

<file path=xl/sharedStrings.xml><?xml version="1.0" encoding="utf-8"?>
<sst xmlns="http://schemas.openxmlformats.org/spreadsheetml/2006/main" count="77" uniqueCount="57">
  <si>
    <t>январь</t>
  </si>
  <si>
    <t>февраль</t>
  </si>
  <si>
    <t>март</t>
  </si>
  <si>
    <t>апрель</t>
  </si>
  <si>
    <t>май</t>
  </si>
  <si>
    <t>июнь</t>
  </si>
  <si>
    <t xml:space="preserve">Поступило </t>
  </si>
  <si>
    <t>Площадь</t>
  </si>
  <si>
    <t xml:space="preserve">Кол-во </t>
  </si>
  <si>
    <t>квар.</t>
  </si>
  <si>
    <t>Содержание</t>
  </si>
  <si>
    <t>содер</t>
  </si>
  <si>
    <t>ремонт</t>
  </si>
  <si>
    <t>итого</t>
  </si>
  <si>
    <t xml:space="preserve">                          Ген. директор ООО "Георгиевск - ЖЭУ"                                        Никишина И.М.</t>
  </si>
  <si>
    <t>Кап.рем.</t>
  </si>
  <si>
    <t>август</t>
  </si>
  <si>
    <t>июль</t>
  </si>
  <si>
    <t>сентябрь</t>
  </si>
  <si>
    <t>октябрь</t>
  </si>
  <si>
    <t>ноябрь</t>
  </si>
  <si>
    <t>декабрь</t>
  </si>
  <si>
    <t>ростелеком</t>
  </si>
  <si>
    <t>Учет доходов и расходов по Мира 12/3 на 2015 год</t>
  </si>
  <si>
    <t>Доходы и расходы по воде и стокам</t>
  </si>
  <si>
    <t>Вода</t>
  </si>
  <si>
    <t>Стоки ХВС, ГВС</t>
  </si>
  <si>
    <t>Вода ОДН</t>
  </si>
  <si>
    <t xml:space="preserve">начислено </t>
  </si>
  <si>
    <t xml:space="preserve">оплачено </t>
  </si>
  <si>
    <t>долг</t>
  </si>
  <si>
    <t>Итого</t>
  </si>
  <si>
    <t>Оплата банковских услуг и услуг ЕРКЦ</t>
  </si>
  <si>
    <t>Затраты по управлению</t>
  </si>
  <si>
    <t>Содержание придомовой территории</t>
  </si>
  <si>
    <t>Текущий ремонт</t>
  </si>
  <si>
    <t>аварийно-диспетчерское обслуживание</t>
  </si>
  <si>
    <t>Проф. обходы и осмотры, разное</t>
  </si>
  <si>
    <t>Обслуживание приборов учета</t>
  </si>
  <si>
    <t>Общие эксплутационные расходы</t>
  </si>
  <si>
    <t>Расходы</t>
  </si>
  <si>
    <t>Остаток на конец</t>
  </si>
  <si>
    <t xml:space="preserve"> апрель</t>
  </si>
  <si>
    <t>7700р</t>
  </si>
  <si>
    <t>земля</t>
  </si>
  <si>
    <t>3414р</t>
  </si>
  <si>
    <t>краска,кисть,известь</t>
  </si>
  <si>
    <t>20000р</t>
  </si>
  <si>
    <t>ограждение (материалы+работа)</t>
  </si>
  <si>
    <t>ростелеком +1 со 2кв.</t>
  </si>
  <si>
    <t>4500р</t>
  </si>
  <si>
    <t>изготовление и установка песочницы</t>
  </si>
  <si>
    <t>8000р</t>
  </si>
  <si>
    <t>ремонт отмостки</t>
  </si>
  <si>
    <t>1739р</t>
  </si>
  <si>
    <t>дезинсекция</t>
  </si>
  <si>
    <t>ИТОГО за 2015 год: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</si>
</sst>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0.000"/>
    <numFmt numFmtId="167" formatCode="#,##0.0_р_."/>
    <numFmt numFmtId="168" formatCode="#,##0_р_.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#,##0.0000_р_.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</numFmts>
  <fonts count="44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2" fillId="2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64" fontId="2" fillId="32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0" fontId="2" fillId="2" borderId="12" xfId="0" applyFont="1" applyFill="1" applyBorder="1" applyAlignment="1">
      <alignment/>
    </xf>
    <xf numFmtId="164" fontId="2" fillId="4" borderId="12" xfId="0" applyNumberFormat="1" applyFont="1" applyFill="1" applyBorder="1" applyAlignment="1">
      <alignment/>
    </xf>
    <xf numFmtId="164" fontId="2" fillId="4" borderId="12" xfId="0" applyNumberFormat="1" applyFont="1" applyFill="1" applyBorder="1" applyAlignment="1">
      <alignment/>
    </xf>
    <xf numFmtId="164" fontId="2" fillId="32" borderId="12" xfId="0" applyNumberFormat="1" applyFont="1" applyFill="1" applyBorder="1" applyAlignment="1">
      <alignment/>
    </xf>
    <xf numFmtId="2" fontId="2" fillId="32" borderId="12" xfId="0" applyNumberFormat="1" applyFont="1" applyFill="1" applyBorder="1" applyAlignment="1">
      <alignment/>
    </xf>
    <xf numFmtId="0" fontId="0" fillId="5" borderId="11" xfId="0" applyFill="1" applyBorder="1" applyAlignment="1">
      <alignment/>
    </xf>
    <xf numFmtId="164" fontId="1" fillId="5" borderId="11" xfId="0" applyNumberFormat="1" applyFont="1" applyFill="1" applyBorder="1" applyAlignment="1">
      <alignment/>
    </xf>
    <xf numFmtId="2" fontId="1" fillId="5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3" borderId="12" xfId="0" applyFont="1" applyFill="1" applyBorder="1" applyAlignment="1">
      <alignment/>
    </xf>
    <xf numFmtId="164" fontId="1" fillId="3" borderId="12" xfId="0" applyNumberFormat="1" applyFont="1" applyFill="1" applyBorder="1" applyAlignment="1">
      <alignment horizontal="left"/>
    </xf>
    <xf numFmtId="1" fontId="1" fillId="3" borderId="12" xfId="0" applyNumberFormat="1" applyFont="1" applyFill="1" applyBorder="1" applyAlignment="1">
      <alignment horizontal="left"/>
    </xf>
    <xf numFmtId="164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2" fontId="5" fillId="0" borderId="13" xfId="0" applyNumberFormat="1" applyFont="1" applyBorder="1" applyAlignment="1">
      <alignment/>
    </xf>
    <xf numFmtId="0" fontId="0" fillId="6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2" fontId="0" fillId="6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5" fillId="4" borderId="0" xfId="0" applyFont="1" applyFill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6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179" fontId="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2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3.125" style="0" customWidth="1"/>
    <col min="2" max="2" width="2.00390625" style="0" customWidth="1"/>
    <col min="3" max="3" width="1.12109375" style="0" customWidth="1"/>
    <col min="4" max="4" width="10.125" style="0" customWidth="1"/>
    <col min="5" max="5" width="10.375" style="0" customWidth="1"/>
    <col min="6" max="7" width="9.875" style="0" customWidth="1"/>
    <col min="8" max="8" width="10.375" style="0" customWidth="1"/>
    <col min="9" max="9" width="10.125" style="0" customWidth="1"/>
    <col min="10" max="10" width="9.75390625" style="0" customWidth="1"/>
    <col min="12" max="12" width="9.875" style="0" customWidth="1"/>
    <col min="15" max="15" width="10.125" style="0" customWidth="1"/>
    <col min="16" max="16" width="9.625" style="0" customWidth="1"/>
    <col min="17" max="17" width="11.75390625" style="0" customWidth="1"/>
  </cols>
  <sheetData>
    <row r="1" spans="1:17" ht="12.7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3" ht="12.75">
      <c r="A2" s="48"/>
      <c r="B2" s="48"/>
      <c r="C2" s="48"/>
      <c r="D2" s="48"/>
      <c r="E2" s="67" t="s">
        <v>25</v>
      </c>
      <c r="F2" s="67"/>
      <c r="G2" s="67"/>
      <c r="H2" s="68" t="s">
        <v>26</v>
      </c>
      <c r="I2" s="68"/>
      <c r="J2" s="68"/>
      <c r="K2" s="69" t="s">
        <v>27</v>
      </c>
      <c r="L2" s="69"/>
      <c r="M2" s="69"/>
    </row>
    <row r="3" spans="1:13" ht="12.75">
      <c r="A3" s="48"/>
      <c r="B3" s="48"/>
      <c r="C3" s="48"/>
      <c r="D3" s="48"/>
      <c r="E3" s="38" t="s">
        <v>28</v>
      </c>
      <c r="F3" s="38" t="s">
        <v>29</v>
      </c>
      <c r="G3" s="38" t="s">
        <v>30</v>
      </c>
      <c r="H3" s="39" t="s">
        <v>28</v>
      </c>
      <c r="I3" s="39" t="s">
        <v>29</v>
      </c>
      <c r="J3" s="39" t="s">
        <v>30</v>
      </c>
      <c r="K3" s="40" t="s">
        <v>28</v>
      </c>
      <c r="L3" s="40" t="s">
        <v>29</v>
      </c>
      <c r="M3" s="40" t="s">
        <v>30</v>
      </c>
    </row>
    <row r="4" spans="1:15" ht="12.75">
      <c r="A4" s="50" t="s">
        <v>2</v>
      </c>
      <c r="B4" s="50"/>
      <c r="C4" s="50"/>
      <c r="D4" s="50"/>
      <c r="E4" s="41">
        <v>11064.08</v>
      </c>
      <c r="F4" s="41">
        <v>0</v>
      </c>
      <c r="G4" s="41">
        <f>E4-F4</f>
        <v>11064.08</v>
      </c>
      <c r="H4" s="42">
        <f>5815.67+3035.27</f>
        <v>8850.94</v>
      </c>
      <c r="I4" s="42">
        <v>0</v>
      </c>
      <c r="J4" s="42">
        <f>H4-I4</f>
        <v>8850.94</v>
      </c>
      <c r="K4" s="43">
        <v>1851.3</v>
      </c>
      <c r="L4" s="43">
        <v>0</v>
      </c>
      <c r="M4" s="43">
        <f>K4-L4</f>
        <v>1851.3</v>
      </c>
      <c r="O4" s="44"/>
    </row>
    <row r="5" spans="1:15" ht="12.75">
      <c r="A5" s="54" t="s">
        <v>3</v>
      </c>
      <c r="B5" s="54"/>
      <c r="C5" s="54"/>
      <c r="D5" s="49"/>
      <c r="E5" s="41">
        <v>15692.48</v>
      </c>
      <c r="F5" s="41">
        <f>7605.66+1939.52</f>
        <v>9545.18</v>
      </c>
      <c r="G5" s="41">
        <f aca="true" t="shared" si="0" ref="G5:G13">E5-F5</f>
        <v>6147.299999999999</v>
      </c>
      <c r="H5" s="42">
        <v>8248.52</v>
      </c>
      <c r="I5" s="42">
        <f>4008.41+1019.48</f>
        <v>5027.889999999999</v>
      </c>
      <c r="J5" s="42">
        <f aca="true" t="shared" si="1" ref="J5:J13">H5-I5</f>
        <v>3220.630000000001</v>
      </c>
      <c r="K5" s="43">
        <v>1454.79</v>
      </c>
      <c r="L5" s="43">
        <v>0</v>
      </c>
      <c r="M5" s="43">
        <f aca="true" t="shared" si="2" ref="M5:M13">K5-L5</f>
        <v>1454.79</v>
      </c>
      <c r="O5" s="44"/>
    </row>
    <row r="6" spans="1:15" ht="12.75">
      <c r="A6" s="54" t="s">
        <v>4</v>
      </c>
      <c r="B6" s="54"/>
      <c r="C6" s="54"/>
      <c r="D6" s="49"/>
      <c r="E6" s="41">
        <v>15569.06</v>
      </c>
      <c r="F6" s="41">
        <f>10996.1+3221.92</f>
        <v>14218.02</v>
      </c>
      <c r="G6" s="41">
        <f t="shared" si="0"/>
        <v>1351.039999999999</v>
      </c>
      <c r="H6" s="42">
        <f>8183.64+4640.95</f>
        <v>12824.59</v>
      </c>
      <c r="I6" s="42">
        <f>5769.33+1645.07+3846.22+1112.16</f>
        <v>12372.779999999999</v>
      </c>
      <c r="J6" s="42">
        <f t="shared" si="1"/>
        <v>451.8100000000013</v>
      </c>
      <c r="K6" s="43">
        <v>2063.05</v>
      </c>
      <c r="L6" s="43">
        <f>1156.24+422.3</f>
        <v>1578.54</v>
      </c>
      <c r="M6" s="43">
        <f t="shared" si="2"/>
        <v>484.5100000000002</v>
      </c>
      <c r="O6" s="44"/>
    </row>
    <row r="7" spans="1:15" ht="12.75">
      <c r="A7" s="54" t="s">
        <v>5</v>
      </c>
      <c r="B7" s="54"/>
      <c r="C7" s="54"/>
      <c r="D7" s="49"/>
      <c r="E7" s="41">
        <v>19130.72</v>
      </c>
      <c r="F7" s="41">
        <f>11769.36+3663.38+23.17</f>
        <v>15455.910000000002</v>
      </c>
      <c r="G7" s="41">
        <f t="shared" si="0"/>
        <v>3674.8099999999995</v>
      </c>
      <c r="H7" s="42">
        <f>10055.78+3679.4</f>
        <v>13735.18</v>
      </c>
      <c r="I7" s="42">
        <f>6209.56+1974.08+44.08+3297.09+1088.99+23.17</f>
        <v>12636.970000000001</v>
      </c>
      <c r="J7" s="42">
        <f t="shared" si="1"/>
        <v>1098.2099999999991</v>
      </c>
      <c r="K7" s="43">
        <v>1895.36</v>
      </c>
      <c r="L7" s="43">
        <f>2189.5+727.38+41.44</f>
        <v>2958.32</v>
      </c>
      <c r="M7" s="43">
        <f t="shared" si="2"/>
        <v>-1062.9600000000003</v>
      </c>
      <c r="O7" s="44"/>
    </row>
    <row r="8" spans="1:15" ht="12.75">
      <c r="A8" s="54" t="s">
        <v>17</v>
      </c>
      <c r="B8" s="54"/>
      <c r="C8" s="54"/>
      <c r="D8" s="49"/>
      <c r="E8" s="41">
        <v>18894.95</v>
      </c>
      <c r="F8" s="41">
        <f>13638.15+4275.76</f>
        <v>17913.91</v>
      </c>
      <c r="G8" s="41">
        <f t="shared" si="0"/>
        <v>981.0400000000009</v>
      </c>
      <c r="H8" s="42">
        <f>9847.83+3123.71</f>
        <v>12971.54</v>
      </c>
      <c r="I8" s="42">
        <f>7131.28+2247.49+3002.37+783.15</f>
        <v>13164.289999999999</v>
      </c>
      <c r="J8" s="42">
        <f t="shared" si="1"/>
        <v>-192.74999999999818</v>
      </c>
      <c r="K8" s="43">
        <v>3730.85</v>
      </c>
      <c r="L8" s="43">
        <f>1658.69+483.54</f>
        <v>2142.23</v>
      </c>
      <c r="M8" s="43">
        <f t="shared" si="2"/>
        <v>1588.62</v>
      </c>
      <c r="O8" s="44"/>
    </row>
    <row r="9" spans="1:15" ht="12.75">
      <c r="A9" s="54" t="s">
        <v>16</v>
      </c>
      <c r="B9" s="54"/>
      <c r="C9" s="54"/>
      <c r="D9" s="49"/>
      <c r="E9" s="41">
        <v>21542.65</v>
      </c>
      <c r="F9" s="41">
        <f>13914.49+4055.36</f>
        <v>17969.85</v>
      </c>
      <c r="G9" s="41">
        <f t="shared" si="0"/>
        <v>3572.800000000003</v>
      </c>
      <c r="H9" s="42">
        <f>11227.78+3951.98</f>
        <v>15179.76</v>
      </c>
      <c r="I9" s="42">
        <f>7260.11+2115.37+2324.8+772.03</f>
        <v>12472.31</v>
      </c>
      <c r="J9" s="42">
        <f t="shared" si="1"/>
        <v>2707.4500000000007</v>
      </c>
      <c r="K9" s="43">
        <v>2816.26</v>
      </c>
      <c r="L9" s="43">
        <f>2537.11+873.97</f>
        <v>3411.08</v>
      </c>
      <c r="M9" s="43">
        <f t="shared" si="2"/>
        <v>-594.8199999999997</v>
      </c>
      <c r="O9" s="44"/>
    </row>
    <row r="10" spans="1:15" ht="12.75">
      <c r="A10" s="54" t="s">
        <v>18</v>
      </c>
      <c r="B10" s="54"/>
      <c r="C10" s="54"/>
      <c r="D10" s="49"/>
      <c r="E10" s="41">
        <v>20627.99</v>
      </c>
      <c r="F10" s="41">
        <f>16492.73+5102.84</f>
        <v>21595.57</v>
      </c>
      <c r="G10" s="41">
        <f t="shared" si="0"/>
        <v>-967.5799999999981</v>
      </c>
      <c r="H10" s="42">
        <v>10751.07</v>
      </c>
      <c r="I10" s="42">
        <f>8579.05+2659.54</f>
        <v>11238.59</v>
      </c>
      <c r="J10" s="42">
        <f t="shared" si="1"/>
        <v>-487.52000000000044</v>
      </c>
      <c r="K10" s="43">
        <v>6598.67</v>
      </c>
      <c r="L10" s="43">
        <f>2886.21+903.24</f>
        <v>3789.45</v>
      </c>
      <c r="M10" s="43">
        <f t="shared" si="2"/>
        <v>2809.2200000000003</v>
      </c>
      <c r="O10" s="44"/>
    </row>
    <row r="11" spans="1:15" ht="12.75">
      <c r="A11" s="54" t="s">
        <v>19</v>
      </c>
      <c r="B11" s="54"/>
      <c r="C11" s="54"/>
      <c r="D11" s="49"/>
      <c r="E11" s="41">
        <v>17185.98</v>
      </c>
      <c r="F11" s="41">
        <f>14249.15+3466.08+240.7</f>
        <v>17955.93</v>
      </c>
      <c r="G11" s="41">
        <f t="shared" si="0"/>
        <v>-769.9500000000007</v>
      </c>
      <c r="H11" s="42">
        <f>8957.13+4340.57</f>
        <v>13297.699999999999</v>
      </c>
      <c r="I11" s="42">
        <f>7427.67+2032.29+125.45+2857.98+1154.14+25.09</f>
        <v>13622.619999999999</v>
      </c>
      <c r="J11" s="42">
        <f t="shared" si="1"/>
        <v>-324.9200000000001</v>
      </c>
      <c r="K11" s="43">
        <v>2455.14</v>
      </c>
      <c r="L11" s="43">
        <f>1384.97+471.93+20.22</f>
        <v>1877.1200000000001</v>
      </c>
      <c r="M11" s="43">
        <f t="shared" si="2"/>
        <v>578.0199999999998</v>
      </c>
      <c r="O11" s="44"/>
    </row>
    <row r="12" spans="1:15" ht="12.75">
      <c r="A12" s="54" t="s">
        <v>20</v>
      </c>
      <c r="B12" s="54"/>
      <c r="C12" s="54"/>
      <c r="D12" s="49"/>
      <c r="E12" s="41">
        <v>18678.32</v>
      </c>
      <c r="F12" s="41">
        <f>11633.64+5776.8+385.12</f>
        <v>17795.559999999998</v>
      </c>
      <c r="G12" s="41">
        <f t="shared" si="0"/>
        <v>882.760000000002</v>
      </c>
      <c r="H12" s="42">
        <f>9734.92+4340.57</f>
        <v>14075.49</v>
      </c>
      <c r="I12" s="42">
        <f>6064.1+3355.94+200.72+2684.75+1524.86+100.36</f>
        <v>13930.730000000001</v>
      </c>
      <c r="J12" s="42">
        <f t="shared" si="1"/>
        <v>144.7599999999984</v>
      </c>
      <c r="K12" s="43">
        <v>2695.93</v>
      </c>
      <c r="L12" s="43">
        <f>1506.77+695.14+50.06</f>
        <v>2251.97</v>
      </c>
      <c r="M12" s="43">
        <f t="shared" si="2"/>
        <v>443.96000000000004</v>
      </c>
      <c r="O12" s="44"/>
    </row>
    <row r="13" spans="1:15" ht="12.75">
      <c r="A13" s="54" t="s">
        <v>21</v>
      </c>
      <c r="B13" s="54"/>
      <c r="C13" s="54"/>
      <c r="D13" s="49"/>
      <c r="E13" s="41">
        <v>18148.78</v>
      </c>
      <c r="F13" s="41">
        <f>15215.72+6043.76</f>
        <v>21259.48</v>
      </c>
      <c r="G13" s="41">
        <f t="shared" si="0"/>
        <v>-3110.7000000000007</v>
      </c>
      <c r="H13" s="42">
        <f>9458.93+4493.61</f>
        <v>13952.54</v>
      </c>
      <c r="I13" s="42">
        <f>7957.5+2946.82+3611.4+1154.02</f>
        <v>15669.74</v>
      </c>
      <c r="J13" s="42">
        <f t="shared" si="1"/>
        <v>-1717.199999999999</v>
      </c>
      <c r="K13" s="43">
        <v>1733</v>
      </c>
      <c r="L13" s="43">
        <f>2199.2+673.04</f>
        <v>2872.24</v>
      </c>
      <c r="M13" s="43">
        <f t="shared" si="2"/>
        <v>-1139.2399999999998</v>
      </c>
      <c r="O13" s="44"/>
    </row>
    <row r="14" spans="1:13" ht="12.75">
      <c r="A14" s="54" t="s">
        <v>31</v>
      </c>
      <c r="B14" s="54"/>
      <c r="C14" s="54"/>
      <c r="D14" s="49"/>
      <c r="E14" s="45">
        <f aca="true" t="shared" si="3" ref="E14:M14">SUM(E4:E13)</f>
        <v>176535.01</v>
      </c>
      <c r="F14" s="45">
        <f t="shared" si="3"/>
        <v>153709.41</v>
      </c>
      <c r="G14" s="45">
        <f t="shared" si="3"/>
        <v>22825.600000000002</v>
      </c>
      <c r="H14" s="45">
        <f t="shared" si="3"/>
        <v>123887.33000000002</v>
      </c>
      <c r="I14" s="45">
        <f t="shared" si="3"/>
        <v>110135.92</v>
      </c>
      <c r="J14" s="45">
        <f t="shared" si="3"/>
        <v>13751.410000000003</v>
      </c>
      <c r="K14" s="45">
        <f t="shared" si="3"/>
        <v>27294.35</v>
      </c>
      <c r="L14" s="45">
        <f t="shared" si="3"/>
        <v>20880.949999999997</v>
      </c>
      <c r="M14" s="45">
        <f t="shared" si="3"/>
        <v>6413.400000000001</v>
      </c>
    </row>
    <row r="19" spans="1:16" ht="12.75">
      <c r="A19" s="46" t="s">
        <v>23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7" ht="40.5" customHeight="1">
      <c r="A20" s="5"/>
      <c r="B20" s="6" t="s">
        <v>7</v>
      </c>
      <c r="C20" s="7" t="s">
        <v>8</v>
      </c>
      <c r="D20" s="47" t="s">
        <v>6</v>
      </c>
      <c r="E20" s="47"/>
      <c r="F20" s="47"/>
      <c r="G20" s="61" t="s">
        <v>32</v>
      </c>
      <c r="H20" s="55" t="s">
        <v>33</v>
      </c>
      <c r="I20" s="55" t="s">
        <v>34</v>
      </c>
      <c r="J20" s="55" t="s">
        <v>35</v>
      </c>
      <c r="K20" s="47" t="s">
        <v>10</v>
      </c>
      <c r="L20" s="47"/>
      <c r="M20" s="47"/>
      <c r="N20" s="47"/>
      <c r="O20" s="70" t="s">
        <v>40</v>
      </c>
      <c r="P20" s="57" t="s">
        <v>41</v>
      </c>
      <c r="Q20" s="64" t="s">
        <v>15</v>
      </c>
    </row>
    <row r="21" spans="1:17" ht="42.75" customHeight="1" thickBot="1">
      <c r="A21" s="5"/>
      <c r="B21" s="8"/>
      <c r="C21" s="9" t="s">
        <v>9</v>
      </c>
      <c r="D21" s="1" t="s">
        <v>11</v>
      </c>
      <c r="E21" s="1" t="s">
        <v>12</v>
      </c>
      <c r="F21" s="1" t="s">
        <v>13</v>
      </c>
      <c r="G21" s="62"/>
      <c r="H21" s="60"/>
      <c r="I21" s="60"/>
      <c r="J21" s="60"/>
      <c r="K21" s="55" t="s">
        <v>36</v>
      </c>
      <c r="L21" s="55" t="s">
        <v>37</v>
      </c>
      <c r="M21" s="55" t="s">
        <v>38</v>
      </c>
      <c r="N21" s="55" t="s">
        <v>39</v>
      </c>
      <c r="O21" s="71"/>
      <c r="P21" s="58"/>
      <c r="Q21" s="65"/>
    </row>
    <row r="22" spans="1:17" ht="13.5" thickBot="1">
      <c r="A22" s="10"/>
      <c r="B22" s="11">
        <v>4336.73</v>
      </c>
      <c r="C22" s="12">
        <v>100</v>
      </c>
      <c r="D22" s="14"/>
      <c r="E22" s="15"/>
      <c r="F22" s="16">
        <v>35741.3</v>
      </c>
      <c r="G22" s="63"/>
      <c r="H22" s="56"/>
      <c r="I22" s="56"/>
      <c r="J22" s="56"/>
      <c r="K22" s="56"/>
      <c r="L22" s="56"/>
      <c r="M22" s="56"/>
      <c r="N22" s="56"/>
      <c r="O22" s="72"/>
      <c r="P22" s="59"/>
      <c r="Q22" s="31">
        <v>0</v>
      </c>
    </row>
    <row r="23" spans="1:17" ht="12.75">
      <c r="A23" s="6" t="s">
        <v>0</v>
      </c>
      <c r="B23" s="17"/>
      <c r="C23" s="18"/>
      <c r="D23" s="20">
        <f>21761.93+3220.7</f>
        <v>24982.63</v>
      </c>
      <c r="E23" s="20">
        <f>13201.17+2018.4</f>
        <v>15219.57</v>
      </c>
      <c r="F23" s="21">
        <f aca="true" t="shared" si="4" ref="F23:F35">SUM(D23:E23)</f>
        <v>40202.2</v>
      </c>
      <c r="G23" s="13">
        <f aca="true" t="shared" si="5" ref="G23:G34">SUM(F23*0.09)</f>
        <v>3618.1979999999994</v>
      </c>
      <c r="H23" s="13">
        <v>0</v>
      </c>
      <c r="I23" s="22">
        <v>5329</v>
      </c>
      <c r="J23" s="22">
        <v>157</v>
      </c>
      <c r="K23" s="22">
        <f>B22*1.4</f>
        <v>6071.421999999999</v>
      </c>
      <c r="L23" s="22">
        <v>2664</v>
      </c>
      <c r="M23" s="22">
        <v>1200</v>
      </c>
      <c r="N23" s="23">
        <f aca="true" t="shared" si="6" ref="N23:N35">SUM(F23*0.15)</f>
        <v>6030.329999999999</v>
      </c>
      <c r="O23" s="13">
        <f aca="true" t="shared" si="7" ref="O23:O35">SUM(G23:N23)</f>
        <v>25069.949999999997</v>
      </c>
      <c r="P23" s="32">
        <f aca="true" t="shared" si="8" ref="P23:P36">F23-O23</f>
        <v>15132.25</v>
      </c>
      <c r="Q23" s="4">
        <v>0</v>
      </c>
    </row>
    <row r="24" spans="1:17" ht="12.75">
      <c r="A24" s="6" t="s">
        <v>1</v>
      </c>
      <c r="B24" s="17"/>
      <c r="C24" s="18"/>
      <c r="D24" s="20">
        <f>23039.07+2524.16</f>
        <v>25563.23</v>
      </c>
      <c r="E24" s="20">
        <f>14307.6+1619.84</f>
        <v>15927.44</v>
      </c>
      <c r="F24" s="21">
        <f t="shared" si="4"/>
        <v>41490.67</v>
      </c>
      <c r="G24" s="13">
        <f t="shared" si="5"/>
        <v>3734.1602999999996</v>
      </c>
      <c r="H24" s="13">
        <v>0</v>
      </c>
      <c r="I24" s="22">
        <v>5329</v>
      </c>
      <c r="J24" s="22">
        <v>0</v>
      </c>
      <c r="K24" s="22">
        <v>6071.42</v>
      </c>
      <c r="L24" s="22">
        <v>2664</v>
      </c>
      <c r="M24" s="22">
        <v>1200</v>
      </c>
      <c r="N24" s="23">
        <f t="shared" si="6"/>
        <v>6223.6005</v>
      </c>
      <c r="O24" s="13">
        <f t="shared" si="7"/>
        <v>25222.180800000002</v>
      </c>
      <c r="P24" s="32">
        <f t="shared" si="8"/>
        <v>16268.489199999996</v>
      </c>
      <c r="Q24" s="19">
        <v>22.65</v>
      </c>
    </row>
    <row r="25" spans="1:17" ht="12.75">
      <c r="A25" s="6" t="s">
        <v>2</v>
      </c>
      <c r="B25" s="17"/>
      <c r="C25" s="18"/>
      <c r="D25" s="20">
        <f>18778.19+5871</f>
        <v>24649.19</v>
      </c>
      <c r="E25" s="20">
        <f>11130.36+3714.8</f>
        <v>14845.16</v>
      </c>
      <c r="F25" s="21">
        <f t="shared" si="4"/>
        <v>39494.35</v>
      </c>
      <c r="G25" s="13">
        <f t="shared" si="5"/>
        <v>3554.4914999999996</v>
      </c>
      <c r="H25" s="13">
        <v>4336.73</v>
      </c>
      <c r="I25" s="22">
        <v>5329</v>
      </c>
      <c r="J25" s="22">
        <v>0</v>
      </c>
      <c r="K25" s="22">
        <v>6071.42</v>
      </c>
      <c r="L25" s="22">
        <v>2664</v>
      </c>
      <c r="M25" s="22">
        <v>1200</v>
      </c>
      <c r="N25" s="23">
        <f t="shared" si="6"/>
        <v>5924.152499999999</v>
      </c>
      <c r="O25" s="13">
        <f t="shared" si="7"/>
        <v>29079.793999999998</v>
      </c>
      <c r="P25" s="32">
        <f t="shared" si="8"/>
        <v>10414.556</v>
      </c>
      <c r="Q25" s="19">
        <v>0</v>
      </c>
    </row>
    <row r="26" spans="1:17" ht="12.75">
      <c r="A26" s="6" t="s">
        <v>42</v>
      </c>
      <c r="B26" s="17"/>
      <c r="C26" s="18"/>
      <c r="D26" s="20">
        <f>27093.22+5649</f>
        <v>32742.22</v>
      </c>
      <c r="E26" s="20">
        <f>13650.29+3074.8</f>
        <v>16725.09</v>
      </c>
      <c r="F26" s="21">
        <f t="shared" si="4"/>
        <v>49467.31</v>
      </c>
      <c r="G26" s="13">
        <f t="shared" si="5"/>
        <v>4452.0579</v>
      </c>
      <c r="H26" s="13">
        <v>4336.73</v>
      </c>
      <c r="I26" s="22">
        <v>5329</v>
      </c>
      <c r="J26" s="22">
        <v>393</v>
      </c>
      <c r="K26" s="22">
        <v>6071.42</v>
      </c>
      <c r="L26" s="22">
        <f>2664+7700</f>
        <v>10364</v>
      </c>
      <c r="M26" s="22">
        <v>1200</v>
      </c>
      <c r="N26" s="23">
        <f t="shared" si="6"/>
        <v>7420.0965</v>
      </c>
      <c r="O26" s="13">
        <f t="shared" si="7"/>
        <v>39566.3044</v>
      </c>
      <c r="P26" s="32">
        <f t="shared" si="8"/>
        <v>9901.005599999997</v>
      </c>
      <c r="Q26" s="19">
        <v>0</v>
      </c>
    </row>
    <row r="27" spans="1:17" ht="12.75">
      <c r="A27" s="51" t="s">
        <v>4</v>
      </c>
      <c r="B27" s="52"/>
      <c r="C27" s="53"/>
      <c r="D27" s="20">
        <f>20575.97+8098.55</f>
        <v>28674.52</v>
      </c>
      <c r="E27" s="20">
        <f>11244.4+3961.6</f>
        <v>15206</v>
      </c>
      <c r="F27" s="21">
        <f t="shared" si="4"/>
        <v>43880.520000000004</v>
      </c>
      <c r="G27" s="13">
        <f t="shared" si="5"/>
        <v>3949.2468000000003</v>
      </c>
      <c r="H27" s="13">
        <v>4336.73</v>
      </c>
      <c r="I27" s="22">
        <v>5329</v>
      </c>
      <c r="J27" s="22">
        <f>29942+1258</f>
        <v>31200</v>
      </c>
      <c r="K27" s="22">
        <v>6071.42</v>
      </c>
      <c r="L27" s="22">
        <f>2664+23414</f>
        <v>26078</v>
      </c>
      <c r="M27" s="22">
        <v>0</v>
      </c>
      <c r="N27" s="23">
        <f t="shared" si="6"/>
        <v>6582.078</v>
      </c>
      <c r="O27" s="13">
        <f t="shared" si="7"/>
        <v>83546.4748</v>
      </c>
      <c r="P27" s="32">
        <f t="shared" si="8"/>
        <v>-39665.95479999999</v>
      </c>
      <c r="Q27" s="19">
        <v>423.78</v>
      </c>
    </row>
    <row r="28" spans="1:17" ht="12.75">
      <c r="A28" s="51" t="s">
        <v>5</v>
      </c>
      <c r="B28" s="52"/>
      <c r="C28" s="53"/>
      <c r="D28" s="20">
        <f>20712.53+7155.28</f>
        <v>27867.809999999998</v>
      </c>
      <c r="E28" s="20">
        <f>11313.6+3755.2+183.2</f>
        <v>15252</v>
      </c>
      <c r="F28" s="21">
        <f t="shared" si="4"/>
        <v>43119.81</v>
      </c>
      <c r="G28" s="13">
        <f t="shared" si="5"/>
        <v>3880.7828999999997</v>
      </c>
      <c r="H28" s="13">
        <v>4336.73</v>
      </c>
      <c r="I28" s="22">
        <v>6194</v>
      </c>
      <c r="J28" s="22">
        <v>828</v>
      </c>
      <c r="K28" s="22">
        <v>6071.42</v>
      </c>
      <c r="L28" s="22">
        <f>2664+4500</f>
        <v>7164</v>
      </c>
      <c r="M28" s="22">
        <v>0</v>
      </c>
      <c r="N28" s="23">
        <f t="shared" si="6"/>
        <v>6467.9715</v>
      </c>
      <c r="O28" s="13">
        <f t="shared" si="7"/>
        <v>34942.9044</v>
      </c>
      <c r="P28" s="32">
        <f t="shared" si="8"/>
        <v>8176.905599999998</v>
      </c>
      <c r="Q28" s="19">
        <v>0</v>
      </c>
    </row>
    <row r="29" spans="1:17" ht="12.75">
      <c r="A29" s="51" t="s">
        <v>17</v>
      </c>
      <c r="B29" s="52"/>
      <c r="C29" s="53"/>
      <c r="D29" s="20">
        <f>22234.4+7161.63</f>
        <v>29396.030000000002</v>
      </c>
      <c r="E29" s="20">
        <f>15459.86+3974</f>
        <v>19433.86</v>
      </c>
      <c r="F29" s="21">
        <f t="shared" si="4"/>
        <v>48829.89</v>
      </c>
      <c r="G29" s="13">
        <f t="shared" si="5"/>
        <v>4394.6901</v>
      </c>
      <c r="H29" s="13">
        <v>4336.73</v>
      </c>
      <c r="I29" s="22">
        <v>6194</v>
      </c>
      <c r="J29" s="22">
        <f>4016+1653+19773+65094</f>
        <v>90536</v>
      </c>
      <c r="K29" s="22">
        <v>6071.42</v>
      </c>
      <c r="L29" s="22">
        <v>2664</v>
      </c>
      <c r="M29" s="22">
        <v>0</v>
      </c>
      <c r="N29" s="23">
        <f t="shared" si="6"/>
        <v>7324.483499999999</v>
      </c>
      <c r="O29" s="13">
        <f t="shared" si="7"/>
        <v>121521.3236</v>
      </c>
      <c r="P29" s="32">
        <f t="shared" si="8"/>
        <v>-72691.4336</v>
      </c>
      <c r="Q29" s="19">
        <v>0</v>
      </c>
    </row>
    <row r="30" spans="1:17" ht="12.75">
      <c r="A30" s="51" t="s">
        <v>16</v>
      </c>
      <c r="B30" s="52"/>
      <c r="C30" s="53"/>
      <c r="D30" s="20">
        <f>30940.37+8298.5+2020.39</f>
        <v>41259.259999999995</v>
      </c>
      <c r="E30" s="20">
        <f>16106.4+5564.75+3000</f>
        <v>24671.15</v>
      </c>
      <c r="F30" s="21">
        <f t="shared" si="4"/>
        <v>65930.41</v>
      </c>
      <c r="G30" s="13">
        <f t="shared" si="5"/>
        <v>5933.7369</v>
      </c>
      <c r="H30" s="13">
        <v>4336.73</v>
      </c>
      <c r="I30" s="22">
        <v>6194</v>
      </c>
      <c r="J30" s="22">
        <f>71252+11135</f>
        <v>82387</v>
      </c>
      <c r="K30" s="22">
        <v>6071.42</v>
      </c>
      <c r="L30" s="22">
        <v>2664</v>
      </c>
      <c r="M30" s="22">
        <v>0</v>
      </c>
      <c r="N30" s="23">
        <f t="shared" si="6"/>
        <v>9889.5615</v>
      </c>
      <c r="O30" s="13">
        <f t="shared" si="7"/>
        <v>117476.4484</v>
      </c>
      <c r="P30" s="32">
        <f t="shared" si="8"/>
        <v>-51546.03839999999</v>
      </c>
      <c r="Q30" s="19">
        <v>0</v>
      </c>
    </row>
    <row r="31" spans="1:17" ht="12.75">
      <c r="A31" s="51" t="s">
        <v>18</v>
      </c>
      <c r="B31" s="52"/>
      <c r="C31" s="53"/>
      <c r="D31" s="20">
        <f>23704.9+11377.29</f>
        <v>35082.19</v>
      </c>
      <c r="E31" s="20">
        <f>13176.06+4250.8</f>
        <v>17426.86</v>
      </c>
      <c r="F31" s="21">
        <f t="shared" si="4"/>
        <v>52509.05</v>
      </c>
      <c r="G31" s="13">
        <f t="shared" si="5"/>
        <v>4725.8145</v>
      </c>
      <c r="H31" s="13">
        <v>4336.73</v>
      </c>
      <c r="I31" s="22">
        <v>6194</v>
      </c>
      <c r="J31" s="22">
        <f>1199+9383+6907+12748</f>
        <v>30237</v>
      </c>
      <c r="K31" s="22">
        <v>6071.42</v>
      </c>
      <c r="L31" s="22">
        <f>3330+8000+11739</f>
        <v>23069</v>
      </c>
      <c r="M31" s="22">
        <v>0</v>
      </c>
      <c r="N31" s="23">
        <f t="shared" si="6"/>
        <v>7876.3575</v>
      </c>
      <c r="O31" s="13">
        <f t="shared" si="7"/>
        <v>82510.322</v>
      </c>
      <c r="P31" s="32">
        <f t="shared" si="8"/>
        <v>-30001.271999999997</v>
      </c>
      <c r="Q31" s="19">
        <v>0</v>
      </c>
    </row>
    <row r="32" spans="1:17" ht="12.75">
      <c r="A32" s="51" t="s">
        <v>19</v>
      </c>
      <c r="B32" s="52"/>
      <c r="C32" s="53"/>
      <c r="D32" s="20">
        <f>21610.62+11447.48</f>
        <v>33058.1</v>
      </c>
      <c r="E32" s="20">
        <f>11658.94+3646.8</f>
        <v>15305.740000000002</v>
      </c>
      <c r="F32" s="21">
        <f t="shared" si="4"/>
        <v>48363.84</v>
      </c>
      <c r="G32" s="13">
        <f t="shared" si="5"/>
        <v>4352.745599999999</v>
      </c>
      <c r="H32" s="13">
        <v>4336.73</v>
      </c>
      <c r="I32" s="22">
        <v>6194</v>
      </c>
      <c r="J32" s="22">
        <v>940</v>
      </c>
      <c r="K32" s="22">
        <v>6071.42</v>
      </c>
      <c r="L32" s="22">
        <v>3330</v>
      </c>
      <c r="M32" s="22">
        <v>1400</v>
      </c>
      <c r="N32" s="23">
        <f t="shared" si="6"/>
        <v>7254.575999999999</v>
      </c>
      <c r="O32" s="13">
        <f t="shared" si="7"/>
        <v>33879.4716</v>
      </c>
      <c r="P32" s="32">
        <f t="shared" si="8"/>
        <v>14484.3684</v>
      </c>
      <c r="Q32" s="19">
        <v>0</v>
      </c>
    </row>
    <row r="33" spans="1:17" ht="12.75">
      <c r="A33" s="51" t="s">
        <v>20</v>
      </c>
      <c r="B33" s="52"/>
      <c r="C33" s="53"/>
      <c r="D33" s="20">
        <f>22784.08+10690.41+344.8</f>
        <v>33819.29000000001</v>
      </c>
      <c r="E33" s="20">
        <f>11405.8+5345.2+172.4</f>
        <v>16923.4</v>
      </c>
      <c r="F33" s="21">
        <f t="shared" si="4"/>
        <v>50742.69000000001</v>
      </c>
      <c r="G33" s="13">
        <f t="shared" si="5"/>
        <v>4566.842100000001</v>
      </c>
      <c r="H33" s="13">
        <v>4336.73</v>
      </c>
      <c r="I33" s="22">
        <v>6194</v>
      </c>
      <c r="J33" s="22">
        <f>408+408+681+1934</f>
        <v>3431</v>
      </c>
      <c r="K33" s="22">
        <v>6071.42</v>
      </c>
      <c r="L33" s="22">
        <v>3330</v>
      </c>
      <c r="M33" s="22">
        <v>1400</v>
      </c>
      <c r="N33" s="23">
        <f t="shared" si="6"/>
        <v>7611.403500000001</v>
      </c>
      <c r="O33" s="13">
        <f t="shared" si="7"/>
        <v>36941.3956</v>
      </c>
      <c r="P33" s="32">
        <f t="shared" si="8"/>
        <v>13801.294400000006</v>
      </c>
      <c r="Q33" s="19">
        <v>917.96</v>
      </c>
    </row>
    <row r="34" spans="1:17" ht="12.75">
      <c r="A34" s="51" t="s">
        <v>21</v>
      </c>
      <c r="B34" s="52"/>
      <c r="C34" s="53"/>
      <c r="D34" s="20">
        <f>35670.86+7935.2+7576.2</f>
        <v>51182.259999999995</v>
      </c>
      <c r="E34" s="20">
        <f>15592.4+4150.8+3808.8</f>
        <v>23552</v>
      </c>
      <c r="F34" s="21">
        <f t="shared" si="4"/>
        <v>74734.26</v>
      </c>
      <c r="G34" s="13">
        <f t="shared" si="5"/>
        <v>6726.0833999999995</v>
      </c>
      <c r="H34" s="13">
        <v>4336.73</v>
      </c>
      <c r="I34" s="22">
        <v>6194</v>
      </c>
      <c r="J34" s="22">
        <f>408+2077+442+7760</f>
        <v>10687</v>
      </c>
      <c r="K34" s="22">
        <v>6071.42</v>
      </c>
      <c r="L34" s="22">
        <v>3330</v>
      </c>
      <c r="M34" s="22">
        <v>1400</v>
      </c>
      <c r="N34" s="23">
        <f t="shared" si="6"/>
        <v>11210.139</v>
      </c>
      <c r="O34" s="13">
        <f t="shared" si="7"/>
        <v>49955.37239999999</v>
      </c>
      <c r="P34" s="32">
        <f t="shared" si="8"/>
        <v>24778.887600000002</v>
      </c>
      <c r="Q34" s="19">
        <v>0</v>
      </c>
    </row>
    <row r="35" spans="1:17" ht="12.75">
      <c r="A35" s="28" t="s">
        <v>22</v>
      </c>
      <c r="B35" s="29"/>
      <c r="C35" s="30"/>
      <c r="D35" s="20">
        <f>900+1800+1800+1800</f>
        <v>6300</v>
      </c>
      <c r="E35" s="20">
        <v>0</v>
      </c>
      <c r="F35" s="21">
        <f t="shared" si="4"/>
        <v>6300</v>
      </c>
      <c r="G35" s="13">
        <f>SUM(F35*0.06)</f>
        <v>378</v>
      </c>
      <c r="H35" s="13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f t="shared" si="6"/>
        <v>945</v>
      </c>
      <c r="O35" s="13">
        <f t="shared" si="7"/>
        <v>1323</v>
      </c>
      <c r="P35" s="32">
        <f t="shared" si="8"/>
        <v>4977</v>
      </c>
      <c r="Q35" s="19">
        <v>0</v>
      </c>
    </row>
    <row r="36" spans="1:17" ht="12.75">
      <c r="A36" s="24" t="s">
        <v>13</v>
      </c>
      <c r="B36" s="24"/>
      <c r="C36" s="24"/>
      <c r="D36" s="25">
        <f>SUM(D23:D35)</f>
        <v>394576.73</v>
      </c>
      <c r="E36" s="25">
        <f>SUM(E23:E35)</f>
        <v>210488.27</v>
      </c>
      <c r="F36" s="25">
        <f>SUM(F22:F35)</f>
        <v>640806.3</v>
      </c>
      <c r="G36" s="25">
        <f aca="true" t="shared" si="9" ref="G36:O36">SUM(G23:G35)</f>
        <v>54266.84999999999</v>
      </c>
      <c r="H36" s="25">
        <f t="shared" si="9"/>
        <v>43367.29999999999</v>
      </c>
      <c r="I36" s="25">
        <f t="shared" si="9"/>
        <v>70003</v>
      </c>
      <c r="J36" s="25">
        <f t="shared" si="9"/>
        <v>250796</v>
      </c>
      <c r="K36" s="25">
        <f t="shared" si="9"/>
        <v>72857.04199999999</v>
      </c>
      <c r="L36" s="25">
        <f t="shared" si="9"/>
        <v>89985</v>
      </c>
      <c r="M36" s="25">
        <f t="shared" si="9"/>
        <v>9000</v>
      </c>
      <c r="N36" s="26">
        <f t="shared" si="9"/>
        <v>90759.75</v>
      </c>
      <c r="O36" s="25">
        <f t="shared" si="9"/>
        <v>681034.9420000002</v>
      </c>
      <c r="P36" s="37">
        <f t="shared" si="8"/>
        <v>-40228.64200000011</v>
      </c>
      <c r="Q36" s="27">
        <f>SUM(Q22:Q35)</f>
        <v>1364.3899999999999</v>
      </c>
    </row>
    <row r="37" ht="12.75">
      <c r="Q37" s="33">
        <f>Q36*0.91</f>
        <v>1241.5948999999998</v>
      </c>
    </row>
    <row r="38" spans="9:17" ht="12.75">
      <c r="I38" s="34"/>
      <c r="Q38" s="36"/>
    </row>
    <row r="39" spans="4:17" ht="12.75">
      <c r="D39" t="s">
        <v>3</v>
      </c>
      <c r="E39" s="34" t="s">
        <v>43</v>
      </c>
      <c r="F39" t="s">
        <v>44</v>
      </c>
      <c r="Q39" s="36"/>
    </row>
    <row r="40" spans="4:17" ht="12.75">
      <c r="D40" t="s">
        <v>4</v>
      </c>
      <c r="E40" s="34" t="s">
        <v>45</v>
      </c>
      <c r="F40" t="s">
        <v>46</v>
      </c>
      <c r="Q40" s="36"/>
    </row>
    <row r="41" spans="5:17" ht="12.75">
      <c r="E41" s="34" t="s">
        <v>47</v>
      </c>
      <c r="F41" t="s">
        <v>48</v>
      </c>
      <c r="Q41" s="36"/>
    </row>
    <row r="42" spans="4:17" ht="12.75">
      <c r="D42" t="s">
        <v>49</v>
      </c>
      <c r="E42" s="34"/>
      <c r="Q42" s="36"/>
    </row>
    <row r="43" spans="4:17" ht="12.75">
      <c r="D43" t="s">
        <v>5</v>
      </c>
      <c r="E43" s="34" t="s">
        <v>50</v>
      </c>
      <c r="F43" t="s">
        <v>51</v>
      </c>
      <c r="Q43" s="36"/>
    </row>
    <row r="44" spans="4:17" ht="12.75">
      <c r="D44" t="s">
        <v>18</v>
      </c>
      <c r="E44" s="34" t="s">
        <v>52</v>
      </c>
      <c r="F44" t="s">
        <v>53</v>
      </c>
      <c r="Q44" s="36"/>
    </row>
    <row r="45" spans="5:17" ht="12.75">
      <c r="E45" s="34" t="s">
        <v>54</v>
      </c>
      <c r="F45" t="s">
        <v>55</v>
      </c>
      <c r="Q45" s="36"/>
    </row>
    <row r="46" spans="5:17" ht="12.75">
      <c r="E46" s="34"/>
      <c r="Q46" s="36"/>
    </row>
    <row r="47" ht="12.75">
      <c r="Q47" s="34"/>
    </row>
    <row r="48" spans="5:17" ht="12.75">
      <c r="E48" s="3" t="s">
        <v>14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ht="12.75">
      <c r="O49" s="2"/>
    </row>
    <row r="52" spans="11:14" ht="12.75">
      <c r="K52" s="35" t="s">
        <v>56</v>
      </c>
      <c r="L52" s="35"/>
      <c r="M52" s="73">
        <f>P36+Q37</f>
        <v>-38987.04710000011</v>
      </c>
      <c r="N52" s="73"/>
    </row>
  </sheetData>
  <sheetProtection/>
  <mergeCells count="40">
    <mergeCell ref="M52:N52"/>
    <mergeCell ref="A13:D13"/>
    <mergeCell ref="A11:D11"/>
    <mergeCell ref="A10:D10"/>
    <mergeCell ref="A28:C28"/>
    <mergeCell ref="A33:C33"/>
    <mergeCell ref="A32:C32"/>
    <mergeCell ref="A5:D5"/>
    <mergeCell ref="A8:D8"/>
    <mergeCell ref="N21:N22"/>
    <mergeCell ref="L21:L22"/>
    <mergeCell ref="A6:D6"/>
    <mergeCell ref="A30:C30"/>
    <mergeCell ref="A31:C31"/>
    <mergeCell ref="A1:Q1"/>
    <mergeCell ref="A2:D2"/>
    <mergeCell ref="E2:G2"/>
    <mergeCell ref="H2:J2"/>
    <mergeCell ref="K2:M2"/>
    <mergeCell ref="K20:N20"/>
    <mergeCell ref="O20:O22"/>
    <mergeCell ref="A3:D3"/>
    <mergeCell ref="A9:D9"/>
    <mergeCell ref="D20:F20"/>
    <mergeCell ref="A27:C27"/>
    <mergeCell ref="A19:P19"/>
    <mergeCell ref="A4:D4"/>
    <mergeCell ref="A14:D14"/>
    <mergeCell ref="A7:D7"/>
    <mergeCell ref="A29:C29"/>
    <mergeCell ref="K21:K22"/>
    <mergeCell ref="P20:P22"/>
    <mergeCell ref="J20:J22"/>
    <mergeCell ref="G20:G22"/>
    <mergeCell ref="H20:H22"/>
    <mergeCell ref="I20:I22"/>
    <mergeCell ref="Q20:Q21"/>
    <mergeCell ref="M21:M22"/>
    <mergeCell ref="A12:D12"/>
    <mergeCell ref="A34:C34"/>
  </mergeCells>
  <printOptions/>
  <pageMargins left="0.3229166666666667" right="0.1875" top="0.13541666666666666" bottom="0.010416666666666666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2015-10-26T06:09:54Z</cp:lastPrinted>
  <dcterms:created xsi:type="dcterms:W3CDTF">2007-02-04T12:22:59Z</dcterms:created>
  <dcterms:modified xsi:type="dcterms:W3CDTF">2016-02-03T05:02:43Z</dcterms:modified>
  <cp:category/>
  <cp:version/>
  <cp:contentType/>
  <cp:contentStatus/>
</cp:coreProperties>
</file>