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485" windowHeight="5280" activeTab="0"/>
  </bookViews>
  <sheets>
    <sheet name="2015" sheetId="1" r:id="rId1"/>
  </sheets>
  <definedNames>
    <definedName name="_xlnm.Print_Area" localSheetId="0">'2015'!$A$44:$Q$44</definedName>
  </definedNames>
  <calcPr fullCalcOnLoad="1"/>
</workbook>
</file>

<file path=xl/sharedStrings.xml><?xml version="1.0" encoding="utf-8"?>
<sst xmlns="http://schemas.openxmlformats.org/spreadsheetml/2006/main" count="58" uniqueCount="42">
  <si>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</si>
  <si>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</si>
  <si>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</si>
  <si>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</si>
  <si>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</si>
  <si>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</si>
  <si>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</si>
  <si>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</si>
  <si>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</si>
  <si>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</si>
  <si>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</si>
  <si>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 xml:space="preserve">Поступило </t>
  </si>
  <si>
    <t>Площадь</t>
  </si>
  <si>
    <t xml:space="preserve">Кол-во </t>
  </si>
  <si>
    <t>квар.</t>
  </si>
  <si>
    <t>Расходы</t>
  </si>
  <si>
    <t>Содержание</t>
  </si>
  <si>
    <t>декабрь</t>
  </si>
  <si>
    <t>содер</t>
  </si>
  <si>
    <t>ремонт</t>
  </si>
  <si>
    <t>итого</t>
  </si>
  <si>
    <t>Ген.  Директор        ООО " Георгиевск ЖЭУ"                               Никишина И.М.</t>
  </si>
  <si>
    <t>Учет доходов и расходов по Тургенева 12  на 2015 год</t>
  </si>
  <si>
    <t>Доходы и расходы по воде и стокам</t>
  </si>
  <si>
    <t>Вода</t>
  </si>
  <si>
    <t>Стоки</t>
  </si>
  <si>
    <t>Вода ОДН</t>
  </si>
  <si>
    <t xml:space="preserve">начислено </t>
  </si>
  <si>
    <t xml:space="preserve">оплачено </t>
  </si>
  <si>
    <t>долг</t>
  </si>
  <si>
    <t>Итого</t>
  </si>
  <si>
    <t>Оплата банковских услуг и услуг ЕРКЦ</t>
  </si>
  <si>
    <t>Затраты по управлению</t>
  </si>
  <si>
    <t>Содержание придомовой территории</t>
  </si>
  <si>
    <t>Текущий ремонт</t>
  </si>
  <si>
    <t>аварийно-диспетчерское обслуживание</t>
  </si>
  <si>
    <t>Проф. обходы и осмотры, разное</t>
  </si>
  <si>
    <t>Обслуживание приборов учета</t>
  </si>
  <si>
    <t>Общие эксплутационные расходы</t>
  </si>
  <si>
    <t>Остаток на конец</t>
  </si>
  <si>
    <t>Капитальный  ремонт</t>
  </si>
  <si>
    <t xml:space="preserve">июль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</si>
</sst>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&quot;р.&quot;"/>
    <numFmt numFmtId="166" formatCode="#,##0.00&quot;р.&quot;"/>
    <numFmt numFmtId="167" formatCode="#,##0.0_р_."/>
    <numFmt numFmtId="168" formatCode="0.000"/>
    <numFmt numFmtId="169" formatCode="#,##0.000_р_."/>
    <numFmt numFmtId="170" formatCode="#,##0_р_."/>
    <numFmt numFmtId="171" formatCode="#,##0.0000_р_.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b/>
      <sz val="10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1" fontId="1" fillId="0" borderId="11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17" fontId="1" fillId="0" borderId="12" xfId="0" applyNumberFormat="1" applyFont="1" applyBorder="1" applyAlignment="1">
      <alignment horizontal="left"/>
    </xf>
    <xf numFmtId="164" fontId="1" fillId="0" borderId="12" xfId="0" applyNumberFormat="1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/>
    </xf>
    <xf numFmtId="1" fontId="1" fillId="0" borderId="12" xfId="0" applyNumberFormat="1" applyFont="1" applyBorder="1" applyAlignment="1">
      <alignment/>
    </xf>
    <xf numFmtId="164" fontId="1" fillId="32" borderId="12" xfId="0" applyNumberFormat="1" applyFont="1" applyFill="1" applyBorder="1" applyAlignment="1">
      <alignment/>
    </xf>
    <xf numFmtId="164" fontId="1" fillId="32" borderId="12" xfId="0" applyNumberFormat="1" applyFont="1" applyFill="1" applyBorder="1" applyAlignment="1">
      <alignment/>
    </xf>
    <xf numFmtId="164" fontId="1" fillId="0" borderId="12" xfId="0" applyNumberFormat="1" applyFont="1" applyBorder="1" applyAlignment="1">
      <alignment/>
    </xf>
    <xf numFmtId="164" fontId="1" fillId="4" borderId="12" xfId="0" applyNumberFormat="1" applyFont="1" applyFill="1" applyBorder="1" applyAlignment="1">
      <alignment/>
    </xf>
    <xf numFmtId="2" fontId="2" fillId="32" borderId="12" xfId="0" applyNumberFormat="1" applyFont="1" applyFill="1" applyBorder="1" applyAlignment="1">
      <alignment horizontal="center"/>
    </xf>
    <xf numFmtId="164" fontId="1" fillId="0" borderId="12" xfId="0" applyNumberFormat="1" applyFont="1" applyFill="1" applyBorder="1" applyAlignment="1">
      <alignment/>
    </xf>
    <xf numFmtId="164" fontId="1" fillId="5" borderId="12" xfId="0" applyNumberFormat="1" applyFont="1" applyFill="1" applyBorder="1" applyAlignment="1">
      <alignment/>
    </xf>
    <xf numFmtId="164" fontId="1" fillId="0" borderId="13" xfId="0" applyNumberFormat="1" applyFont="1" applyFill="1" applyBorder="1" applyAlignment="1">
      <alignment/>
    </xf>
    <xf numFmtId="164" fontId="1" fillId="4" borderId="14" xfId="0" applyNumberFormat="1" applyFont="1" applyFill="1" applyBorder="1" applyAlignment="1">
      <alignment/>
    </xf>
    <xf numFmtId="164" fontId="1" fillId="0" borderId="15" xfId="0" applyNumberFormat="1" applyFont="1" applyFill="1" applyBorder="1" applyAlignment="1">
      <alignment/>
    </xf>
    <xf numFmtId="2" fontId="3" fillId="0" borderId="12" xfId="0" applyNumberFormat="1" applyFont="1" applyBorder="1" applyAlignment="1">
      <alignment/>
    </xf>
    <xf numFmtId="164" fontId="0" fillId="0" borderId="15" xfId="0" applyNumberFormat="1" applyBorder="1" applyAlignment="1">
      <alignment/>
    </xf>
    <xf numFmtId="164" fontId="4" fillId="5" borderId="14" xfId="0" applyNumberFormat="1" applyFont="1" applyFill="1" applyBorder="1" applyAlignment="1">
      <alignment/>
    </xf>
    <xf numFmtId="0" fontId="0" fillId="5" borderId="12" xfId="0" applyFill="1" applyBorder="1" applyAlignment="1">
      <alignment/>
    </xf>
    <xf numFmtId="2" fontId="1" fillId="5" borderId="12" xfId="0" applyNumberFormat="1" applyFont="1" applyFill="1" applyBorder="1" applyAlignment="1">
      <alignment/>
    </xf>
    <xf numFmtId="164" fontId="0" fillId="0" borderId="12" xfId="0" applyNumberFormat="1" applyBorder="1" applyAlignment="1">
      <alignment/>
    </xf>
    <xf numFmtId="2" fontId="5" fillId="0" borderId="0" xfId="0" applyNumberFormat="1" applyFont="1" applyAlignment="1">
      <alignment/>
    </xf>
    <xf numFmtId="0" fontId="5" fillId="0" borderId="0" xfId="0" applyFont="1" applyAlignment="1">
      <alignment/>
    </xf>
    <xf numFmtId="164" fontId="5" fillId="33" borderId="0" xfId="0" applyNumberFormat="1" applyFont="1" applyFill="1" applyAlignment="1">
      <alignment/>
    </xf>
    <xf numFmtId="0" fontId="43" fillId="0" borderId="0" xfId="0" applyFont="1" applyAlignment="1">
      <alignment/>
    </xf>
    <xf numFmtId="164" fontId="4" fillId="0" borderId="0" xfId="0" applyNumberFormat="1" applyFont="1" applyFill="1" applyBorder="1" applyAlignment="1">
      <alignment/>
    </xf>
    <xf numFmtId="164" fontId="6" fillId="0" borderId="0" xfId="0" applyNumberFormat="1" applyFont="1" applyFill="1" applyAlignment="1">
      <alignment/>
    </xf>
    <xf numFmtId="0" fontId="0" fillId="6" borderId="12" xfId="0" applyFill="1" applyBorder="1" applyAlignment="1">
      <alignment/>
    </xf>
    <xf numFmtId="0" fontId="0" fillId="34" borderId="12" xfId="0" applyFill="1" applyBorder="1" applyAlignment="1">
      <alignment/>
    </xf>
    <xf numFmtId="0" fontId="0" fillId="35" borderId="12" xfId="0" applyFill="1" applyBorder="1" applyAlignment="1">
      <alignment/>
    </xf>
    <xf numFmtId="2" fontId="0" fillId="6" borderId="12" xfId="0" applyNumberFormat="1" applyFill="1" applyBorder="1" applyAlignment="1">
      <alignment/>
    </xf>
    <xf numFmtId="2" fontId="0" fillId="34" borderId="12" xfId="0" applyNumberFormat="1" applyFill="1" applyBorder="1" applyAlignment="1">
      <alignment/>
    </xf>
    <xf numFmtId="2" fontId="0" fillId="35" borderId="12" xfId="0" applyNumberFormat="1" applyFill="1" applyBorder="1" applyAlignment="1">
      <alignment/>
    </xf>
    <xf numFmtId="2" fontId="0" fillId="36" borderId="12" xfId="0" applyNumberFormat="1" applyFill="1" applyBorder="1" applyAlignment="1">
      <alignment/>
    </xf>
    <xf numFmtId="0" fontId="25" fillId="0" borderId="0" xfId="0" applyFont="1" applyAlignment="1">
      <alignment/>
    </xf>
    <xf numFmtId="2" fontId="1" fillId="0" borderId="13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2" fontId="1" fillId="0" borderId="18" xfId="0" applyNumberFormat="1" applyFont="1" applyBorder="1" applyAlignment="1">
      <alignment horizontal="center" vertical="top" wrapText="1"/>
    </xf>
    <xf numFmtId="2" fontId="1" fillId="0" borderId="19" xfId="0" applyNumberFormat="1" applyFont="1" applyBorder="1" applyAlignment="1">
      <alignment horizontal="center" vertical="top" wrapText="1"/>
    </xf>
    <xf numFmtId="2" fontId="1" fillId="0" borderId="2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6" borderId="12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/>
    </xf>
    <xf numFmtId="2" fontId="4" fillId="0" borderId="11" xfId="0" applyNumberFormat="1" applyFont="1" applyBorder="1" applyAlignment="1">
      <alignment horizontal="center" vertical="top"/>
    </xf>
    <xf numFmtId="2" fontId="4" fillId="0" borderId="14" xfId="0" applyNumberFormat="1" applyFont="1" applyBorder="1" applyAlignment="1">
      <alignment horizontal="center" vertical="top"/>
    </xf>
    <xf numFmtId="2" fontId="4" fillId="0" borderId="23" xfId="0" applyNumberFormat="1" applyFont="1" applyBorder="1" applyAlignment="1">
      <alignment horizontal="center" vertical="top" wrapText="1"/>
    </xf>
    <xf numFmtId="2" fontId="4" fillId="0" borderId="24" xfId="0" applyNumberFormat="1" applyFont="1" applyBorder="1" applyAlignment="1">
      <alignment horizontal="center" vertical="top" wrapText="1"/>
    </xf>
    <xf numFmtId="2" fontId="4" fillId="0" borderId="25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43"/>
  <sheetViews>
    <sheetView tabSelected="1" workbookViewId="0" topLeftCell="A1">
      <selection activeCell="F22" sqref="F22"/>
    </sheetView>
  </sheetViews>
  <sheetFormatPr defaultColWidth="9.00390625" defaultRowHeight="12.75"/>
  <cols>
    <col min="1" max="1" width="5.00390625" style="0" customWidth="1"/>
    <col min="2" max="2" width="2.875" style="0" customWidth="1"/>
    <col min="3" max="3" width="3.375" style="0" customWidth="1"/>
    <col min="4" max="4" width="10.00390625" style="0" customWidth="1"/>
    <col min="5" max="5" width="9.375" style="0" customWidth="1"/>
    <col min="6" max="6" width="9.875" style="0" customWidth="1"/>
    <col min="7" max="7" width="9.625" style="0" customWidth="1"/>
    <col min="8" max="9" width="10.00390625" style="0" customWidth="1"/>
    <col min="15" max="15" width="9.875" style="0" customWidth="1"/>
    <col min="16" max="16" width="9.75390625" style="0" customWidth="1"/>
    <col min="17" max="17" width="11.75390625" style="0" customWidth="1"/>
  </cols>
  <sheetData>
    <row r="1" spans="1:17" ht="12.75">
      <c r="A1" s="55" t="s">
        <v>23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3" ht="12.75">
      <c r="A2" s="56"/>
      <c r="B2" s="56"/>
      <c r="C2" s="56"/>
      <c r="D2" s="56"/>
      <c r="E2" s="57" t="s">
        <v>24</v>
      </c>
      <c r="F2" s="57"/>
      <c r="G2" s="57"/>
      <c r="H2" s="58" t="s">
        <v>25</v>
      </c>
      <c r="I2" s="58"/>
      <c r="J2" s="58"/>
      <c r="K2" s="59" t="s">
        <v>26</v>
      </c>
      <c r="L2" s="59"/>
      <c r="M2" s="59"/>
    </row>
    <row r="3" spans="1:13" ht="12.75">
      <c r="A3" s="56"/>
      <c r="B3" s="56"/>
      <c r="C3" s="56"/>
      <c r="D3" s="56"/>
      <c r="E3" s="34" t="s">
        <v>27</v>
      </c>
      <c r="F3" s="34" t="s">
        <v>28</v>
      </c>
      <c r="G3" s="34" t="s">
        <v>29</v>
      </c>
      <c r="H3" s="35" t="s">
        <v>27</v>
      </c>
      <c r="I3" s="35" t="s">
        <v>28</v>
      </c>
      <c r="J3" s="35" t="s">
        <v>29</v>
      </c>
      <c r="K3" s="36" t="s">
        <v>27</v>
      </c>
      <c r="L3" s="36" t="s">
        <v>28</v>
      </c>
      <c r="M3" s="36" t="s">
        <v>29</v>
      </c>
    </row>
    <row r="4" spans="1:13" ht="12.75">
      <c r="A4" s="46" t="s">
        <v>2</v>
      </c>
      <c r="B4" s="46"/>
      <c r="C4" s="46"/>
      <c r="D4" s="46"/>
      <c r="E4" s="37">
        <v>7890.32</v>
      </c>
      <c r="F4" s="37">
        <v>0</v>
      </c>
      <c r="G4" s="37">
        <f>E4-F4</f>
        <v>7890.32</v>
      </c>
      <c r="H4" s="38">
        <v>4147.43</v>
      </c>
      <c r="I4" s="38">
        <v>0</v>
      </c>
      <c r="J4" s="38">
        <f>H4-I4</f>
        <v>4147.43</v>
      </c>
      <c r="K4" s="39">
        <v>617.04</v>
      </c>
      <c r="L4" s="39">
        <v>0</v>
      </c>
      <c r="M4" s="39">
        <f>K4-L4</f>
        <v>617.04</v>
      </c>
    </row>
    <row r="5" spans="1:13" ht="12.75">
      <c r="A5" s="48" t="s">
        <v>3</v>
      </c>
      <c r="B5" s="48"/>
      <c r="C5" s="48"/>
      <c r="D5" s="47"/>
      <c r="E5" s="37">
        <v>8375.2</v>
      </c>
      <c r="F5" s="37">
        <f>4760.64+1675.04</f>
        <v>6435.68</v>
      </c>
      <c r="G5" s="37">
        <f aca="true" t="shared" si="0" ref="G5:G13">E5-F5</f>
        <v>1939.5200000000004</v>
      </c>
      <c r="H5" s="38">
        <v>4402.3</v>
      </c>
      <c r="I5" s="38">
        <f>2502.36+880.46</f>
        <v>3382.82</v>
      </c>
      <c r="J5" s="38">
        <f aca="true" t="shared" si="1" ref="J5:J13">H5-I5</f>
        <v>1019.48</v>
      </c>
      <c r="K5" s="39">
        <v>1102.06</v>
      </c>
      <c r="L5" s="39">
        <f>403.72+94.76</f>
        <v>498.48</v>
      </c>
      <c r="M5" s="39">
        <f aca="true" t="shared" si="2" ref="M5:M13">K5-L5</f>
        <v>603.5799999999999</v>
      </c>
    </row>
    <row r="6" spans="1:13" ht="12.75">
      <c r="A6" s="48" t="s">
        <v>4</v>
      </c>
      <c r="B6" s="48"/>
      <c r="C6" s="48"/>
      <c r="D6" s="47"/>
      <c r="E6" s="37">
        <v>9168.64</v>
      </c>
      <c r="F6" s="37">
        <f>4981.04+2777.04</f>
        <v>7758.08</v>
      </c>
      <c r="G6" s="37">
        <f t="shared" si="0"/>
        <v>1410.5599999999995</v>
      </c>
      <c r="H6" s="38">
        <v>4819.36</v>
      </c>
      <c r="I6" s="38">
        <f>2618.12+1459.71</f>
        <v>4077.83</v>
      </c>
      <c r="J6" s="38">
        <f t="shared" si="1"/>
        <v>741.5299999999997</v>
      </c>
      <c r="K6" s="39">
        <v>1220.62</v>
      </c>
      <c r="L6" s="39">
        <f>676.21+280.86</f>
        <v>957.07</v>
      </c>
      <c r="M6" s="39">
        <f t="shared" si="2"/>
        <v>263.54999999999984</v>
      </c>
    </row>
    <row r="7" spans="1:13" ht="12.75">
      <c r="A7" s="48" t="s">
        <v>5</v>
      </c>
      <c r="B7" s="48"/>
      <c r="C7" s="48"/>
      <c r="D7" s="47"/>
      <c r="E7" s="37">
        <v>9962.08</v>
      </c>
      <c r="F7" s="37">
        <f>3438.24+3526.4</f>
        <v>6964.639999999999</v>
      </c>
      <c r="G7" s="37">
        <f t="shared" si="0"/>
        <v>2997.4400000000005</v>
      </c>
      <c r="H7" s="38">
        <v>5236.42</v>
      </c>
      <c r="I7" s="38">
        <f>1807.26+1853.6</f>
        <v>3660.8599999999997</v>
      </c>
      <c r="J7" s="38">
        <f t="shared" si="1"/>
        <v>1575.5600000000004</v>
      </c>
      <c r="K7" s="39">
        <v>1895.44</v>
      </c>
      <c r="L7" s="39">
        <f>69.66</f>
        <v>69.66</v>
      </c>
      <c r="M7" s="39">
        <f t="shared" si="2"/>
        <v>1825.78</v>
      </c>
    </row>
    <row r="8" spans="1:13" ht="12.75">
      <c r="A8" s="48" t="s">
        <v>6</v>
      </c>
      <c r="B8" s="48"/>
      <c r="C8" s="48"/>
      <c r="D8" s="47"/>
      <c r="E8" s="37">
        <v>10518.59</v>
      </c>
      <c r="F8" s="37">
        <f>6038.96+6832.4</f>
        <v>12871.36</v>
      </c>
      <c r="G8" s="37">
        <f t="shared" si="0"/>
        <v>-2352.7700000000004</v>
      </c>
      <c r="H8" s="38">
        <v>5482.17</v>
      </c>
      <c r="I8" s="38">
        <f>3174.29+3591.35</f>
        <v>6765.639999999999</v>
      </c>
      <c r="J8" s="38">
        <f t="shared" si="1"/>
        <v>-1283.4699999999993</v>
      </c>
      <c r="K8" s="39">
        <v>938.72</v>
      </c>
      <c r="L8" s="39">
        <f>906.29+703.01</f>
        <v>1609.3</v>
      </c>
      <c r="M8" s="39">
        <f t="shared" si="2"/>
        <v>-670.5799999999999</v>
      </c>
    </row>
    <row r="9" spans="1:13" ht="12.75">
      <c r="A9" s="48" t="s">
        <v>7</v>
      </c>
      <c r="B9" s="48"/>
      <c r="C9" s="48"/>
      <c r="D9" s="47"/>
      <c r="E9" s="37">
        <v>12035</v>
      </c>
      <c r="F9" s="37">
        <f>7417.16+2070.02</f>
        <v>9487.18</v>
      </c>
      <c r="G9" s="37">
        <f t="shared" si="0"/>
        <v>2547.8199999999997</v>
      </c>
      <c r="H9" s="38">
        <v>6272.5</v>
      </c>
      <c r="I9" s="38">
        <f>3868.86+1078.87</f>
        <v>4947.73</v>
      </c>
      <c r="J9" s="38">
        <f t="shared" si="1"/>
        <v>1324.7700000000004</v>
      </c>
      <c r="K9" s="39">
        <v>1107.23</v>
      </c>
      <c r="L9" s="39">
        <f>719.79+441.97</f>
        <v>1161.76</v>
      </c>
      <c r="M9" s="39">
        <f t="shared" si="2"/>
        <v>-54.52999999999997</v>
      </c>
    </row>
    <row r="10" spans="1:13" ht="12.75">
      <c r="A10" s="48" t="s">
        <v>8</v>
      </c>
      <c r="B10" s="48"/>
      <c r="C10" s="48"/>
      <c r="D10" s="47"/>
      <c r="E10" s="37">
        <v>11601.74</v>
      </c>
      <c r="F10" s="37">
        <f>8520.78+3417.94+500</f>
        <v>12438.720000000001</v>
      </c>
      <c r="G10" s="37">
        <f t="shared" si="0"/>
        <v>-836.9800000000014</v>
      </c>
      <c r="H10" s="38">
        <v>6046.69</v>
      </c>
      <c r="I10" s="38">
        <f>4440.93+1781.39+200</f>
        <v>6422.320000000001</v>
      </c>
      <c r="J10" s="38">
        <f t="shared" si="1"/>
        <v>-375.630000000001</v>
      </c>
      <c r="K10" s="39">
        <v>673.97</v>
      </c>
      <c r="L10" s="39">
        <f>777.47+270.55+100</f>
        <v>1148.02</v>
      </c>
      <c r="M10" s="39">
        <f t="shared" si="2"/>
        <v>-474.04999999999995</v>
      </c>
    </row>
    <row r="11" spans="1:13" ht="12.75">
      <c r="A11" s="48" t="s">
        <v>9</v>
      </c>
      <c r="B11" s="48"/>
      <c r="C11" s="48"/>
      <c r="D11" s="47"/>
      <c r="E11" s="37">
        <v>10446.38</v>
      </c>
      <c r="F11" s="37">
        <f>6258.2+3553.66</f>
        <v>9811.86</v>
      </c>
      <c r="G11" s="37">
        <f t="shared" si="0"/>
        <v>634.5199999999986</v>
      </c>
      <c r="H11" s="38">
        <v>5444.53</v>
      </c>
      <c r="I11" s="38">
        <f>3261.7+1854.87</f>
        <v>5116.57</v>
      </c>
      <c r="J11" s="38">
        <f t="shared" si="1"/>
        <v>327.96000000000004</v>
      </c>
      <c r="K11" s="39">
        <v>876.16</v>
      </c>
      <c r="L11" s="39">
        <f>404.39+333.53+100</f>
        <v>837.92</v>
      </c>
      <c r="M11" s="39">
        <f t="shared" si="2"/>
        <v>38.24000000000001</v>
      </c>
    </row>
    <row r="12" spans="1:13" ht="12.75">
      <c r="A12" s="48" t="s">
        <v>10</v>
      </c>
      <c r="B12" s="48"/>
      <c r="C12" s="48"/>
      <c r="D12" s="47"/>
      <c r="E12" s="37">
        <v>10590.8</v>
      </c>
      <c r="F12" s="37">
        <f>7461.7+3562.36+1593.42</f>
        <v>12617.48</v>
      </c>
      <c r="G12" s="37">
        <f t="shared" si="0"/>
        <v>-2026.6800000000003</v>
      </c>
      <c r="H12" s="38">
        <v>5519.8</v>
      </c>
      <c r="I12" s="38">
        <f>3888.95+1856.66+878.87</f>
        <v>6624.48</v>
      </c>
      <c r="J12" s="38">
        <f t="shared" si="1"/>
        <v>-1104.6799999999994</v>
      </c>
      <c r="K12" s="39">
        <v>1155.39</v>
      </c>
      <c r="L12" s="39">
        <f>500.65+264.3+140.1</f>
        <v>905.0500000000001</v>
      </c>
      <c r="M12" s="39">
        <f t="shared" si="2"/>
        <v>250.34000000000003</v>
      </c>
    </row>
    <row r="13" spans="1:13" ht="12.75">
      <c r="A13" s="48" t="s">
        <v>17</v>
      </c>
      <c r="B13" s="48"/>
      <c r="C13" s="48"/>
      <c r="D13" s="47"/>
      <c r="E13" s="37">
        <v>9435.44</v>
      </c>
      <c r="F13" s="37">
        <f>6835.88+2743.98</f>
        <v>9579.86</v>
      </c>
      <c r="G13" s="37">
        <f t="shared" si="0"/>
        <v>-144.42000000000007</v>
      </c>
      <c r="H13" s="38">
        <v>4917.64</v>
      </c>
      <c r="I13" s="38">
        <f>3562.78+1430.13</f>
        <v>4992.91</v>
      </c>
      <c r="J13" s="38">
        <f t="shared" si="1"/>
        <v>-75.26999999999953</v>
      </c>
      <c r="K13" s="39">
        <v>866.48</v>
      </c>
      <c r="L13" s="39">
        <f>702.84+331.2</f>
        <v>1034.04</v>
      </c>
      <c r="M13" s="39">
        <f t="shared" si="2"/>
        <v>-167.55999999999995</v>
      </c>
    </row>
    <row r="14" spans="1:13" ht="12.75">
      <c r="A14" s="60" t="s">
        <v>30</v>
      </c>
      <c r="B14" s="60"/>
      <c r="C14" s="60"/>
      <c r="D14" s="60"/>
      <c r="E14" s="40">
        <f aca="true" t="shared" si="3" ref="E14:M14">SUM(E4:E13)</f>
        <v>100024.19000000002</v>
      </c>
      <c r="F14" s="40">
        <f t="shared" si="3"/>
        <v>87964.86</v>
      </c>
      <c r="G14" s="40">
        <f t="shared" si="3"/>
        <v>12059.329999999996</v>
      </c>
      <c r="H14" s="40">
        <f t="shared" si="3"/>
        <v>52288.840000000004</v>
      </c>
      <c r="I14" s="40">
        <f t="shared" si="3"/>
        <v>45991.16</v>
      </c>
      <c r="J14" s="40">
        <f t="shared" si="3"/>
        <v>6297.680000000001</v>
      </c>
      <c r="K14" s="40">
        <f t="shared" si="3"/>
        <v>10453.11</v>
      </c>
      <c r="L14" s="40">
        <f t="shared" si="3"/>
        <v>8221.300000000001</v>
      </c>
      <c r="M14" s="40">
        <f t="shared" si="3"/>
        <v>2231.81</v>
      </c>
    </row>
    <row r="19" spans="1:17" ht="12.75">
      <c r="A19" s="45" t="s">
        <v>22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</row>
    <row r="20" spans="1:17" ht="40.5" customHeight="1">
      <c r="A20" s="1"/>
      <c r="B20" s="2" t="s">
        <v>12</v>
      </c>
      <c r="C20" s="3" t="s">
        <v>13</v>
      </c>
      <c r="D20" s="42" t="s">
        <v>11</v>
      </c>
      <c r="E20" s="43"/>
      <c r="F20" s="44"/>
      <c r="G20" s="49" t="s">
        <v>31</v>
      </c>
      <c r="H20" s="52" t="s">
        <v>32</v>
      </c>
      <c r="I20" s="52" t="s">
        <v>33</v>
      </c>
      <c r="J20" s="52" t="s">
        <v>34</v>
      </c>
      <c r="K20" s="42" t="s">
        <v>16</v>
      </c>
      <c r="L20" s="43"/>
      <c r="M20" s="43"/>
      <c r="N20" s="44"/>
      <c r="O20" s="63" t="s">
        <v>15</v>
      </c>
      <c r="P20" s="66" t="s">
        <v>39</v>
      </c>
      <c r="Q20" s="61" t="s">
        <v>40</v>
      </c>
    </row>
    <row r="21" spans="1:17" ht="42.75" customHeight="1" thickBot="1">
      <c r="A21" s="1"/>
      <c r="B21" s="4"/>
      <c r="C21" s="5" t="s">
        <v>14</v>
      </c>
      <c r="D21" s="6" t="s">
        <v>18</v>
      </c>
      <c r="E21" s="6" t="s">
        <v>19</v>
      </c>
      <c r="F21" s="6" t="s">
        <v>20</v>
      </c>
      <c r="G21" s="50"/>
      <c r="H21" s="53"/>
      <c r="I21" s="53"/>
      <c r="J21" s="53"/>
      <c r="K21" s="52" t="s">
        <v>35</v>
      </c>
      <c r="L21" s="52" t="s">
        <v>36</v>
      </c>
      <c r="M21" s="52" t="s">
        <v>37</v>
      </c>
      <c r="N21" s="52" t="s">
        <v>38</v>
      </c>
      <c r="O21" s="64"/>
      <c r="P21" s="67"/>
      <c r="Q21" s="62"/>
    </row>
    <row r="22" spans="1:17" ht="13.5" thickBot="1">
      <c r="A22" s="7"/>
      <c r="B22" s="8">
        <v>1441.6</v>
      </c>
      <c r="C22" s="8">
        <v>32</v>
      </c>
      <c r="D22" s="17"/>
      <c r="E22" s="19"/>
      <c r="F22" s="21">
        <v>66.78</v>
      </c>
      <c r="G22" s="51"/>
      <c r="H22" s="54"/>
      <c r="I22" s="54"/>
      <c r="J22" s="54"/>
      <c r="K22" s="54"/>
      <c r="L22" s="54"/>
      <c r="M22" s="54"/>
      <c r="N22" s="54"/>
      <c r="O22" s="65"/>
      <c r="P22" s="68"/>
      <c r="Q22" s="23">
        <v>0</v>
      </c>
    </row>
    <row r="23" spans="1:17" ht="12.75">
      <c r="A23" s="9" t="s">
        <v>0</v>
      </c>
      <c r="B23" s="10"/>
      <c r="C23" s="11"/>
      <c r="D23" s="15">
        <f>11604.5+1159.5</f>
        <v>12764</v>
      </c>
      <c r="E23" s="15">
        <f>2881.96+463.8</f>
        <v>3345.76</v>
      </c>
      <c r="F23" s="20">
        <f aca="true" t="shared" si="4" ref="F23:F34">SUM(D23:E23)</f>
        <v>16109.76</v>
      </c>
      <c r="G23" s="12">
        <f aca="true" t="shared" si="5" ref="G23:G30">SUM(F23*0.09)</f>
        <v>1449.8784</v>
      </c>
      <c r="H23" s="12">
        <v>0</v>
      </c>
      <c r="I23" s="13">
        <v>3097.4</v>
      </c>
      <c r="J23" s="13">
        <f>764+1237</f>
        <v>2001</v>
      </c>
      <c r="K23" s="16">
        <f>B22*1.4</f>
        <v>2018.2399999999998</v>
      </c>
      <c r="L23" s="13">
        <v>1864.8</v>
      </c>
      <c r="M23" s="13">
        <v>1200</v>
      </c>
      <c r="N23" s="13">
        <f aca="true" t="shared" si="6" ref="N23:N34">SUM(F23*0.15)</f>
        <v>2416.464</v>
      </c>
      <c r="O23" s="12">
        <f aca="true" t="shared" si="7" ref="O23:O34">SUM(G23:N23)</f>
        <v>14047.7824</v>
      </c>
      <c r="P23" s="14">
        <f aca="true" t="shared" si="8" ref="P23:P35">F23-O23</f>
        <v>2061.9776</v>
      </c>
      <c r="Q23" s="24">
        <v>0</v>
      </c>
    </row>
    <row r="24" spans="1:17" ht="12.75">
      <c r="A24" s="9" t="s">
        <v>1</v>
      </c>
      <c r="B24" s="10"/>
      <c r="C24" s="11"/>
      <c r="D24" s="15">
        <f>5995.5+2485.91</f>
        <v>8481.41</v>
      </c>
      <c r="E24" s="15">
        <f>2396.67+755.7</f>
        <v>3152.37</v>
      </c>
      <c r="F24" s="20">
        <f t="shared" si="4"/>
        <v>11633.779999999999</v>
      </c>
      <c r="G24" s="12">
        <f t="shared" si="5"/>
        <v>1047.0402</v>
      </c>
      <c r="H24" s="12">
        <v>0</v>
      </c>
      <c r="I24" s="13">
        <v>3097.4</v>
      </c>
      <c r="J24" s="13">
        <v>0</v>
      </c>
      <c r="K24" s="16">
        <v>2018.24</v>
      </c>
      <c r="L24" s="13">
        <v>1864.8</v>
      </c>
      <c r="M24" s="13">
        <v>1200</v>
      </c>
      <c r="N24" s="13">
        <f t="shared" si="6"/>
        <v>1745.0669999999998</v>
      </c>
      <c r="O24" s="12">
        <f t="shared" si="7"/>
        <v>10972.547199999999</v>
      </c>
      <c r="P24" s="14">
        <f t="shared" si="8"/>
        <v>661.2327999999998</v>
      </c>
      <c r="Q24" s="24">
        <v>0</v>
      </c>
    </row>
    <row r="25" spans="1:17" ht="12.75">
      <c r="A25" s="9" t="s">
        <v>2</v>
      </c>
      <c r="B25" s="10"/>
      <c r="C25" s="11"/>
      <c r="D25" s="15">
        <f>7506.6+3370.09+834</f>
        <v>11710.69</v>
      </c>
      <c r="E25" s="15">
        <f>3886.53+1252.5+333.6</f>
        <v>5472.630000000001</v>
      </c>
      <c r="F25" s="20">
        <f t="shared" si="4"/>
        <v>17183.32</v>
      </c>
      <c r="G25" s="12">
        <f t="shared" si="5"/>
        <v>1546.4987999999998</v>
      </c>
      <c r="H25" s="12">
        <v>1441.6</v>
      </c>
      <c r="I25" s="13">
        <v>3097.4</v>
      </c>
      <c r="J25" s="13">
        <v>0</v>
      </c>
      <c r="K25" s="16">
        <v>2018.24</v>
      </c>
      <c r="L25" s="13">
        <v>1864.8</v>
      </c>
      <c r="M25" s="13">
        <v>1200</v>
      </c>
      <c r="N25" s="13">
        <f t="shared" si="6"/>
        <v>2577.498</v>
      </c>
      <c r="O25" s="12">
        <f t="shared" si="7"/>
        <v>13746.036799999998</v>
      </c>
      <c r="P25" s="14">
        <f t="shared" si="8"/>
        <v>3437.2832000000017</v>
      </c>
      <c r="Q25" s="24">
        <v>0</v>
      </c>
    </row>
    <row r="26" spans="1:17" ht="12.75">
      <c r="A26" s="9" t="s">
        <v>3</v>
      </c>
      <c r="B26" s="10"/>
      <c r="C26" s="11"/>
      <c r="D26" s="15">
        <f>8719.3+1619.95+834</f>
        <v>11173.25</v>
      </c>
      <c r="E26" s="15">
        <f>3301.16+556.5+333.6</f>
        <v>4191.26</v>
      </c>
      <c r="F26" s="20">
        <f t="shared" si="4"/>
        <v>15364.51</v>
      </c>
      <c r="G26" s="12">
        <f t="shared" si="5"/>
        <v>1382.8059</v>
      </c>
      <c r="H26" s="12">
        <v>1441.6</v>
      </c>
      <c r="I26" s="13">
        <v>3097.4</v>
      </c>
      <c r="J26" s="13">
        <v>0</v>
      </c>
      <c r="K26" s="16">
        <v>2018.24</v>
      </c>
      <c r="L26" s="13">
        <v>1864.8</v>
      </c>
      <c r="M26" s="13">
        <v>1200</v>
      </c>
      <c r="N26" s="13">
        <f t="shared" si="6"/>
        <v>2304.6765</v>
      </c>
      <c r="O26" s="12">
        <f t="shared" si="7"/>
        <v>13309.522399999998</v>
      </c>
      <c r="P26" s="14">
        <f t="shared" si="8"/>
        <v>2054.987600000002</v>
      </c>
      <c r="Q26" s="24">
        <v>0</v>
      </c>
    </row>
    <row r="27" spans="1:17" ht="12.75">
      <c r="A27" s="9" t="s">
        <v>4</v>
      </c>
      <c r="B27" s="10"/>
      <c r="C27" s="11"/>
      <c r="D27" s="15">
        <f>6485.5+3734.05+834</f>
        <v>11053.55</v>
      </c>
      <c r="E27" s="15">
        <f>2350.27+1317.9+333.6</f>
        <v>4001.77</v>
      </c>
      <c r="F27" s="20">
        <f t="shared" si="4"/>
        <v>15055.32</v>
      </c>
      <c r="G27" s="12">
        <f t="shared" si="5"/>
        <v>1354.9787999999999</v>
      </c>
      <c r="H27" s="12">
        <v>1441.6</v>
      </c>
      <c r="I27" s="13">
        <v>3097.4</v>
      </c>
      <c r="J27" s="13">
        <v>0</v>
      </c>
      <c r="K27" s="16">
        <v>2018.24</v>
      </c>
      <c r="L27" s="13">
        <f>1864.8</f>
        <v>1864.8</v>
      </c>
      <c r="M27" s="13">
        <v>0</v>
      </c>
      <c r="N27" s="13">
        <f t="shared" si="6"/>
        <v>2258.298</v>
      </c>
      <c r="O27" s="12">
        <f t="shared" si="7"/>
        <v>12035.3168</v>
      </c>
      <c r="P27" s="14">
        <f t="shared" si="8"/>
        <v>3020.003199999999</v>
      </c>
      <c r="Q27" s="24">
        <v>0</v>
      </c>
    </row>
    <row r="28" spans="1:17" ht="12.75">
      <c r="A28" s="9" t="s">
        <v>5</v>
      </c>
      <c r="B28" s="10"/>
      <c r="C28" s="11"/>
      <c r="D28" s="15">
        <f>5382.2+4587.45+834</f>
        <v>10803.65</v>
      </c>
      <c r="E28" s="15">
        <f>1960.87+1619.1+333.6</f>
        <v>3913.5699999999997</v>
      </c>
      <c r="F28" s="20">
        <f t="shared" si="4"/>
        <v>14717.22</v>
      </c>
      <c r="G28" s="12">
        <f t="shared" si="5"/>
        <v>1324.5498</v>
      </c>
      <c r="H28" s="12">
        <v>1441.6</v>
      </c>
      <c r="I28" s="13">
        <v>3097.4</v>
      </c>
      <c r="J28" s="13">
        <v>0</v>
      </c>
      <c r="K28" s="16">
        <v>2018.24</v>
      </c>
      <c r="L28" s="13">
        <v>1864.8</v>
      </c>
      <c r="M28" s="13">
        <v>0</v>
      </c>
      <c r="N28" s="13">
        <f t="shared" si="6"/>
        <v>2207.5829999999996</v>
      </c>
      <c r="O28" s="12">
        <f t="shared" si="7"/>
        <v>11954.1728</v>
      </c>
      <c r="P28" s="14">
        <f t="shared" si="8"/>
        <v>2763.047199999999</v>
      </c>
      <c r="Q28" s="24">
        <v>0</v>
      </c>
    </row>
    <row r="29" spans="1:17" ht="12.75">
      <c r="A29" s="9" t="s">
        <v>41</v>
      </c>
      <c r="B29" s="10"/>
      <c r="C29" s="11"/>
      <c r="D29" s="15">
        <f>7265.3+3998.4+834</f>
        <v>12097.7</v>
      </c>
      <c r="E29" s="15">
        <f>2568.07+1411.2+333.6</f>
        <v>4312.870000000001</v>
      </c>
      <c r="F29" s="20">
        <f t="shared" si="4"/>
        <v>16410.57</v>
      </c>
      <c r="G29" s="12">
        <f t="shared" si="5"/>
        <v>1476.9513</v>
      </c>
      <c r="H29" s="12">
        <v>1441.6</v>
      </c>
      <c r="I29" s="13">
        <v>3097.4</v>
      </c>
      <c r="J29" s="13">
        <v>8116</v>
      </c>
      <c r="K29" s="16">
        <v>2018.24</v>
      </c>
      <c r="L29" s="13">
        <v>1864.8</v>
      </c>
      <c r="M29" s="13">
        <v>0</v>
      </c>
      <c r="N29" s="13">
        <f t="shared" si="6"/>
        <v>2461.5854999999997</v>
      </c>
      <c r="O29" s="12">
        <f t="shared" si="7"/>
        <v>20476.576800000003</v>
      </c>
      <c r="P29" s="14">
        <f t="shared" si="8"/>
        <v>-4066.006800000003</v>
      </c>
      <c r="Q29" s="24">
        <v>0</v>
      </c>
    </row>
    <row r="30" spans="1:17" ht="12.75">
      <c r="A30" s="9" t="s">
        <v>7</v>
      </c>
      <c r="B30" s="10"/>
      <c r="C30" s="11"/>
      <c r="D30" s="15">
        <f>8479.98+3650.75</f>
        <v>12130.73</v>
      </c>
      <c r="E30" s="15">
        <f>3174.07+1288.5</f>
        <v>4462.57</v>
      </c>
      <c r="F30" s="20">
        <f t="shared" si="4"/>
        <v>16593.3</v>
      </c>
      <c r="G30" s="12">
        <f t="shared" si="5"/>
        <v>1493.397</v>
      </c>
      <c r="H30" s="12">
        <v>1441.6</v>
      </c>
      <c r="I30" s="13">
        <v>3097.4</v>
      </c>
      <c r="J30" s="13">
        <v>0</v>
      </c>
      <c r="K30" s="16">
        <v>2018.24</v>
      </c>
      <c r="L30" s="13">
        <v>1864.8</v>
      </c>
      <c r="M30" s="13">
        <v>0</v>
      </c>
      <c r="N30" s="13">
        <f t="shared" si="6"/>
        <v>2488.995</v>
      </c>
      <c r="O30" s="12">
        <f t="shared" si="7"/>
        <v>12404.432</v>
      </c>
      <c r="P30" s="14">
        <f t="shared" si="8"/>
        <v>4188.867999999999</v>
      </c>
      <c r="Q30" s="24">
        <v>0</v>
      </c>
    </row>
    <row r="31" spans="1:17" ht="12.75">
      <c r="A31" s="9" t="s">
        <v>8</v>
      </c>
      <c r="B31" s="10"/>
      <c r="C31" s="11"/>
      <c r="D31" s="15">
        <f>8518.22+4660.66+500</f>
        <v>13678.88</v>
      </c>
      <c r="E31" s="15">
        <f>2833.27+1887.44+482</f>
        <v>5202.71</v>
      </c>
      <c r="F31" s="20">
        <f t="shared" si="4"/>
        <v>18881.59</v>
      </c>
      <c r="G31" s="12">
        <f>SUM(F31*0.09)</f>
        <v>1699.3431</v>
      </c>
      <c r="H31" s="12">
        <v>1441.6</v>
      </c>
      <c r="I31" s="13">
        <v>3097.4</v>
      </c>
      <c r="J31" s="13">
        <v>0</v>
      </c>
      <c r="K31" s="16">
        <v>2018.24</v>
      </c>
      <c r="L31" s="13">
        <v>2077.92</v>
      </c>
      <c r="M31" s="13">
        <v>0</v>
      </c>
      <c r="N31" s="13">
        <f t="shared" si="6"/>
        <v>2832.2385</v>
      </c>
      <c r="O31" s="12">
        <f t="shared" si="7"/>
        <v>13166.7416</v>
      </c>
      <c r="P31" s="14">
        <f t="shared" si="8"/>
        <v>5714.848400000001</v>
      </c>
      <c r="Q31" s="24">
        <v>0</v>
      </c>
    </row>
    <row r="32" spans="1:17" ht="12.75">
      <c r="A32" s="9" t="s">
        <v>9</v>
      </c>
      <c r="B32" s="10"/>
      <c r="C32" s="11"/>
      <c r="D32" s="15">
        <f>6941.1+8430.52+500</f>
        <v>15871.62</v>
      </c>
      <c r="E32" s="15">
        <f>2511.07+4879.8+482</f>
        <v>7872.870000000001</v>
      </c>
      <c r="F32" s="20">
        <f t="shared" si="4"/>
        <v>23744.49</v>
      </c>
      <c r="G32" s="12">
        <f>SUM(F32*0.09)</f>
        <v>2137.0041</v>
      </c>
      <c r="H32" s="12">
        <v>1441.6</v>
      </c>
      <c r="I32" s="13">
        <v>3097.4</v>
      </c>
      <c r="J32" s="13">
        <v>1632</v>
      </c>
      <c r="K32" s="16">
        <v>2018.24</v>
      </c>
      <c r="L32" s="13">
        <v>2077.92</v>
      </c>
      <c r="M32" s="13">
        <v>1400</v>
      </c>
      <c r="N32" s="13">
        <f t="shared" si="6"/>
        <v>3561.6735000000003</v>
      </c>
      <c r="O32" s="12">
        <f t="shared" si="7"/>
        <v>17365.8376</v>
      </c>
      <c r="P32" s="14">
        <f t="shared" si="8"/>
        <v>6378.652400000003</v>
      </c>
      <c r="Q32" s="24">
        <v>0</v>
      </c>
    </row>
    <row r="33" spans="1:17" ht="12.75">
      <c r="A33" s="9" t="s">
        <v>10</v>
      </c>
      <c r="B33" s="10"/>
      <c r="C33" s="11"/>
      <c r="D33" s="15">
        <f>7193.3+3431.07+946.05</f>
        <v>11570.42</v>
      </c>
      <c r="E33" s="15">
        <f>2773.2+1272.37+615.9</f>
        <v>4661.469999999999</v>
      </c>
      <c r="F33" s="20">
        <f t="shared" si="4"/>
        <v>16231.89</v>
      </c>
      <c r="G33" s="12">
        <f>SUM(F33*0.09)</f>
        <v>1460.8700999999999</v>
      </c>
      <c r="H33" s="12">
        <v>1441.6</v>
      </c>
      <c r="I33" s="13">
        <v>3097.4</v>
      </c>
      <c r="J33" s="13">
        <v>0</v>
      </c>
      <c r="K33" s="16">
        <v>2018.24</v>
      </c>
      <c r="L33" s="13">
        <v>2077.92</v>
      </c>
      <c r="M33" s="13">
        <v>1400</v>
      </c>
      <c r="N33" s="13">
        <f t="shared" si="6"/>
        <v>2434.7835</v>
      </c>
      <c r="O33" s="12">
        <f t="shared" si="7"/>
        <v>13930.8136</v>
      </c>
      <c r="P33" s="14">
        <f t="shared" si="8"/>
        <v>2301.0764</v>
      </c>
      <c r="Q33" s="24">
        <v>0</v>
      </c>
    </row>
    <row r="34" spans="1:17" ht="12.75">
      <c r="A34" s="9" t="s">
        <v>17</v>
      </c>
      <c r="B34" s="10"/>
      <c r="C34" s="11"/>
      <c r="D34" s="15">
        <f>7521.65+3417.85+8266.6</f>
        <v>19206.1</v>
      </c>
      <c r="E34" s="15">
        <f>2654.7+1267.57+3560.4</f>
        <v>7482.67</v>
      </c>
      <c r="F34" s="20">
        <f t="shared" si="4"/>
        <v>26688.769999999997</v>
      </c>
      <c r="G34" s="12">
        <f>SUM(F34*0.09)</f>
        <v>2401.9892999999997</v>
      </c>
      <c r="H34" s="12">
        <v>1441.6</v>
      </c>
      <c r="I34" s="13">
        <v>3097.4</v>
      </c>
      <c r="J34" s="13">
        <v>0</v>
      </c>
      <c r="K34" s="16">
        <v>2018.24</v>
      </c>
      <c r="L34" s="13">
        <v>2077.92</v>
      </c>
      <c r="M34" s="13">
        <v>1400</v>
      </c>
      <c r="N34" s="13">
        <f t="shared" si="6"/>
        <v>4003.3154999999992</v>
      </c>
      <c r="O34" s="12">
        <f t="shared" si="7"/>
        <v>16440.464799999998</v>
      </c>
      <c r="P34" s="14">
        <f t="shared" si="8"/>
        <v>10248.305199999999</v>
      </c>
      <c r="Q34" s="24">
        <v>0</v>
      </c>
    </row>
    <row r="35" spans="1:17" ht="12.75">
      <c r="A35" s="25" t="s">
        <v>20</v>
      </c>
      <c r="B35" s="25"/>
      <c r="C35" s="25"/>
      <c r="D35" s="18">
        <f>SUM(D23:D34)</f>
        <v>150542</v>
      </c>
      <c r="E35" s="18">
        <f>SUM(E23:E34)</f>
        <v>58072.520000000004</v>
      </c>
      <c r="F35" s="18">
        <f>SUM(F22:F34)</f>
        <v>208681.30000000002</v>
      </c>
      <c r="G35" s="18">
        <f>SUM(F35*0.09)</f>
        <v>18781.317</v>
      </c>
      <c r="H35" s="18">
        <f aca="true" t="shared" si="9" ref="H35:O35">SUM(H23:H34)</f>
        <v>14416.000000000002</v>
      </c>
      <c r="I35" s="18">
        <f t="shared" si="9"/>
        <v>37168.80000000001</v>
      </c>
      <c r="J35" s="18">
        <f t="shared" si="9"/>
        <v>11749</v>
      </c>
      <c r="K35" s="26">
        <f t="shared" si="9"/>
        <v>24218.880000000005</v>
      </c>
      <c r="L35" s="18">
        <f t="shared" si="9"/>
        <v>23230.079999999994</v>
      </c>
      <c r="M35" s="18">
        <f t="shared" si="9"/>
        <v>9000</v>
      </c>
      <c r="N35" s="18">
        <f t="shared" si="9"/>
        <v>31292.178</v>
      </c>
      <c r="O35" s="18">
        <f t="shared" si="9"/>
        <v>169850.24479999996</v>
      </c>
      <c r="P35" s="22">
        <f t="shared" si="8"/>
        <v>38831.05520000006</v>
      </c>
      <c r="Q35" s="27">
        <f>SUM(Q22:Q22)</f>
        <v>0</v>
      </c>
    </row>
    <row r="36" ht="14.25">
      <c r="Q36" s="30">
        <v>0</v>
      </c>
    </row>
    <row r="37" spans="9:17" ht="12.75">
      <c r="I37" s="31"/>
      <c r="J37" s="31"/>
      <c r="K37" s="31"/>
      <c r="Q37" s="32"/>
    </row>
    <row r="38" spans="4:17" ht="15">
      <c r="D38" s="41"/>
      <c r="E38" s="41"/>
      <c r="F38" s="41"/>
      <c r="G38" s="28"/>
      <c r="H38" s="28"/>
      <c r="I38" s="28"/>
      <c r="J38" s="28"/>
      <c r="K38" s="28"/>
      <c r="L38" s="28"/>
      <c r="M38" s="29"/>
      <c r="N38" s="29"/>
      <c r="O38" s="29"/>
      <c r="Q38" s="33"/>
    </row>
    <row r="39" spans="6:15" ht="14.25">
      <c r="F39" s="28"/>
      <c r="G39" s="28"/>
      <c r="H39" s="28"/>
      <c r="I39" s="28"/>
      <c r="J39" s="28"/>
      <c r="K39" s="28"/>
      <c r="L39" s="28"/>
      <c r="M39" s="29"/>
      <c r="N39" s="29"/>
      <c r="O39" s="29"/>
    </row>
    <row r="40" spans="7:15" ht="14.25">
      <c r="G40" s="28" t="s">
        <v>21</v>
      </c>
      <c r="H40" s="28"/>
      <c r="I40" s="28"/>
      <c r="J40" s="28"/>
      <c r="K40" s="28"/>
      <c r="L40" s="28"/>
      <c r="M40" s="29"/>
      <c r="N40" s="29"/>
      <c r="O40" s="29"/>
    </row>
    <row r="41" spans="7:15" ht="14.25">
      <c r="G41" s="28"/>
      <c r="H41" s="28"/>
      <c r="I41" s="28"/>
      <c r="J41" s="28"/>
      <c r="K41" s="28"/>
      <c r="L41" s="28"/>
      <c r="M41" s="29"/>
      <c r="N41" s="29"/>
      <c r="O41" s="29"/>
    </row>
    <row r="42" spans="7:15" ht="14.25">
      <c r="G42" s="28"/>
      <c r="H42" s="28"/>
      <c r="I42" s="28"/>
      <c r="J42" s="28"/>
      <c r="K42" s="28"/>
      <c r="L42" s="28"/>
      <c r="M42" s="29"/>
      <c r="N42" s="29"/>
      <c r="O42" s="29"/>
    </row>
    <row r="43" spans="7:15" ht="14.25">
      <c r="G43" s="28"/>
      <c r="H43" s="28"/>
      <c r="I43" s="28"/>
      <c r="J43" s="28"/>
      <c r="K43" s="28"/>
      <c r="L43" s="28"/>
      <c r="M43" s="29"/>
      <c r="N43" s="29"/>
      <c r="O43" s="29"/>
    </row>
  </sheetData>
  <sheetProtection/>
  <mergeCells count="31">
    <mergeCell ref="A6:D6"/>
    <mergeCell ref="M21:M22"/>
    <mergeCell ref="N21:N22"/>
    <mergeCell ref="O20:O22"/>
    <mergeCell ref="P20:P22"/>
    <mergeCell ref="K21:K22"/>
    <mergeCell ref="L21:L22"/>
    <mergeCell ref="A4:D4"/>
    <mergeCell ref="A14:D14"/>
    <mergeCell ref="A19:Q19"/>
    <mergeCell ref="D20:F20"/>
    <mergeCell ref="K20:N20"/>
    <mergeCell ref="A5:D5"/>
    <mergeCell ref="Q20:Q21"/>
    <mergeCell ref="A1:Q1"/>
    <mergeCell ref="A2:D2"/>
    <mergeCell ref="E2:G2"/>
    <mergeCell ref="H2:J2"/>
    <mergeCell ref="K2:M2"/>
    <mergeCell ref="A3:D3"/>
    <mergeCell ref="I20:I22"/>
    <mergeCell ref="J20:J22"/>
    <mergeCell ref="A9:D9"/>
    <mergeCell ref="A8:D8"/>
    <mergeCell ref="A7:D7"/>
    <mergeCell ref="G20:G22"/>
    <mergeCell ref="H20:H22"/>
    <mergeCell ref="A10:D10"/>
    <mergeCell ref="A11:D11"/>
    <mergeCell ref="A12:D12"/>
    <mergeCell ref="A13:D13"/>
  </mergeCells>
  <printOptions/>
  <pageMargins left="0.20833333333333334" right="0.13541666666666666" top="0.75" bottom="0.2916666666666667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User</cp:lastModifiedBy>
  <cp:lastPrinted>2015-09-25T06:08:31Z</cp:lastPrinted>
  <dcterms:created xsi:type="dcterms:W3CDTF">2007-02-04T12:22:59Z</dcterms:created>
  <dcterms:modified xsi:type="dcterms:W3CDTF">2016-02-03T05:49:28Z</dcterms:modified>
  <cp:category/>
  <cp:version/>
  <cp:contentType/>
  <cp:contentStatus/>
</cp:coreProperties>
</file>