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515" windowHeight="4965" activeTab="0"/>
  </bookViews>
  <sheets>
    <sheet name="20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M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1680р-обслуживание теплосчетчика</t>
        </r>
      </text>
    </comment>
    <comment ref="L2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11000р-изготовление и установка ограждения</t>
        </r>
      </text>
    </comment>
    <comment ref="L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7шт лавочек-35000руб.</t>
        </r>
      </text>
    </comment>
    <comment ref="L2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2284,62р-юр. услуги</t>
        </r>
      </text>
    </comment>
    <comment ref="L3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4000р-заделка трещин+мелкий ремонт
6000р-покраска газопровода 150м</t>
        </r>
      </text>
    </comment>
    <comment ref="L3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приобретение и установка урн-5792р 
прочистка воронки с автовышки -2000р</t>
        </r>
      </text>
    </comment>
  </commentList>
</comments>
</file>

<file path=xl/sharedStrings.xml><?xml version="1.0" encoding="utf-8"?>
<sst xmlns="http://schemas.openxmlformats.org/spreadsheetml/2006/main" count="80" uniqueCount="58">
  <si>
    <t>май</t>
  </si>
  <si>
    <t>июнь</t>
  </si>
  <si>
    <t>июль</t>
  </si>
  <si>
    <t xml:space="preserve">Поступило </t>
  </si>
  <si>
    <t>Площадь</t>
  </si>
  <si>
    <t xml:space="preserve">Кол-во </t>
  </si>
  <si>
    <t>квар.</t>
  </si>
  <si>
    <t>Расходы</t>
  </si>
  <si>
    <t>Содержание</t>
  </si>
  <si>
    <t>август</t>
  </si>
  <si>
    <t>Ген. директор ООО "Георгиевск - ЖЭУ"                                        Никишина И.М.</t>
  </si>
  <si>
    <t>содер</t>
  </si>
  <si>
    <t>ремонт</t>
  </si>
  <si>
    <t>итого</t>
  </si>
  <si>
    <t>январь</t>
  </si>
  <si>
    <t>февраль</t>
  </si>
  <si>
    <t>март</t>
  </si>
  <si>
    <t>апрель</t>
  </si>
  <si>
    <t>сентябрь</t>
  </si>
  <si>
    <t>октябрь</t>
  </si>
  <si>
    <t>ноябрь</t>
  </si>
  <si>
    <t>декабрь</t>
  </si>
  <si>
    <t>ростелеком</t>
  </si>
  <si>
    <t>Опт-Торг</t>
  </si>
  <si>
    <t>4000р</t>
  </si>
  <si>
    <t>Учет доходов и расходов по Тургенева 15 на 2015 год</t>
  </si>
  <si>
    <t>11000р</t>
  </si>
  <si>
    <t>изготовление и установка ограждения</t>
  </si>
  <si>
    <t>Доходы и расходы по воде и стокам</t>
  </si>
  <si>
    <t>Вода</t>
  </si>
  <si>
    <t>Стоки</t>
  </si>
  <si>
    <t>Вода ОДН</t>
  </si>
  <si>
    <t xml:space="preserve">начислено </t>
  </si>
  <si>
    <t xml:space="preserve">оплачено </t>
  </si>
  <si>
    <t>долг</t>
  </si>
  <si>
    <t>Итого</t>
  </si>
  <si>
    <t>Оплата банковских услуг и услуг ЕРКЦ</t>
  </si>
  <si>
    <t>Затраты по управлению</t>
  </si>
  <si>
    <t>Содержание придомовой территории</t>
  </si>
  <si>
    <t>Текущий ремонт</t>
  </si>
  <si>
    <t>аварийно-диспетчерское обслуживание</t>
  </si>
  <si>
    <t>Проф. обходы и осмотры, разное</t>
  </si>
  <si>
    <t>Общие эксплутационные расходы</t>
  </si>
  <si>
    <t>Остаток на конец</t>
  </si>
  <si>
    <t>Кап. Ремонт</t>
  </si>
  <si>
    <t>Обслуживание приборов учета</t>
  </si>
  <si>
    <t>юр.услуги</t>
  </si>
  <si>
    <t>35000р</t>
  </si>
  <si>
    <t>7шт лавочек</t>
  </si>
  <si>
    <t>2284,62р</t>
  </si>
  <si>
    <t>заделка трещин+мелкий ремонт</t>
  </si>
  <si>
    <t>6000р</t>
  </si>
  <si>
    <t>покраска</t>
  </si>
  <si>
    <t>5792р</t>
  </si>
  <si>
    <t>приобретение и установка урн</t>
  </si>
  <si>
    <t>2000р</t>
  </si>
  <si>
    <t>прочистка воронки с автовышки</t>
  </si>
  <si>
    <t>ИТОГО за 2015 год: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</si>
</sst>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[$-FC19]d\ mmmm\ yyyy\ &quot;г.&quot;"/>
    <numFmt numFmtId="166" formatCode="0.000"/>
    <numFmt numFmtId="167" formatCode="#,##0.000_р_."/>
    <numFmt numFmtId="168" formatCode="#,##0.0_р_."/>
    <numFmt numFmtId="169" formatCode="0.0"/>
    <numFmt numFmtId="170" formatCode="#,##0.0000_р_."/>
    <numFmt numFmtId="171" formatCode="#,##0.00000_р_.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9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164" fontId="1" fillId="4" borderId="11" xfId="0" applyNumberFormat="1" applyFont="1" applyFill="1" applyBorder="1" applyAlignment="1">
      <alignment horizontal="center"/>
    </xf>
    <xf numFmtId="164" fontId="1" fillId="4" borderId="11" xfId="0" applyNumberFormat="1" applyFont="1" applyFill="1" applyBorder="1" applyAlignment="1">
      <alignment/>
    </xf>
    <xf numFmtId="164" fontId="1" fillId="4" borderId="11" xfId="0" applyNumberFormat="1" applyFont="1" applyFill="1" applyBorder="1" applyAlignment="1">
      <alignment/>
    </xf>
    <xf numFmtId="164" fontId="1" fillId="32" borderId="11" xfId="0" applyNumberFormat="1" applyFont="1" applyFill="1" applyBorder="1" applyAlignment="1">
      <alignment/>
    </xf>
    <xf numFmtId="164" fontId="1" fillId="32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2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0" fontId="1" fillId="2" borderId="11" xfId="0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5" borderId="10" xfId="0" applyFont="1" applyFill="1" applyBorder="1" applyAlignment="1">
      <alignment/>
    </xf>
    <xf numFmtId="1" fontId="1" fillId="5" borderId="10" xfId="0" applyNumberFormat="1" applyFont="1" applyFill="1" applyBorder="1" applyAlignment="1">
      <alignment/>
    </xf>
    <xf numFmtId="164" fontId="1" fillId="5" borderId="10" xfId="0" applyNumberFormat="1" applyFont="1" applyFill="1" applyBorder="1" applyAlignment="1">
      <alignment/>
    </xf>
    <xf numFmtId="164" fontId="1" fillId="5" borderId="10" xfId="0" applyNumberFormat="1" applyFont="1" applyFill="1" applyBorder="1" applyAlignment="1">
      <alignment/>
    </xf>
    <xf numFmtId="164" fontId="1" fillId="5" borderId="11" xfId="0" applyNumberFormat="1" applyFont="1" applyFill="1" applyBorder="1" applyAlignment="1">
      <alignment/>
    </xf>
    <xf numFmtId="164" fontId="1" fillId="5" borderId="11" xfId="0" applyNumberFormat="1" applyFont="1" applyFill="1" applyBorder="1" applyAlignment="1">
      <alignment horizontal="center"/>
    </xf>
    <xf numFmtId="164" fontId="1" fillId="5" borderId="11" xfId="0" applyNumberFormat="1" applyFont="1" applyFill="1" applyBorder="1" applyAlignment="1">
      <alignment/>
    </xf>
    <xf numFmtId="0" fontId="0" fillId="0" borderId="0" xfId="0" applyAlignment="1">
      <alignment/>
    </xf>
    <xf numFmtId="0" fontId="1" fillId="3" borderId="10" xfId="0" applyFont="1" applyFill="1" applyBorder="1" applyAlignment="1">
      <alignment/>
    </xf>
    <xf numFmtId="1" fontId="1" fillId="3" borderId="10" xfId="0" applyNumberFormat="1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172" fontId="2" fillId="33" borderId="0" xfId="0" applyNumberFormat="1" applyFont="1" applyFill="1" applyAlignment="1">
      <alignment/>
    </xf>
    <xf numFmtId="0" fontId="0" fillId="6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2" fontId="0" fillId="6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6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center" vertical="top"/>
    </xf>
    <xf numFmtId="0" fontId="0" fillId="0" borderId="19" xfId="0" applyBorder="1" applyAlignment="1">
      <alignment horizontal="center"/>
    </xf>
    <xf numFmtId="172" fontId="2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52"/>
  <sheetViews>
    <sheetView tabSelected="1" zoomScalePageLayoutView="0" workbookViewId="0" topLeftCell="A9">
      <selection activeCell="F21" sqref="F21"/>
    </sheetView>
  </sheetViews>
  <sheetFormatPr defaultColWidth="9.00390625" defaultRowHeight="12.75"/>
  <cols>
    <col min="1" max="1" width="5.625" style="0" customWidth="1"/>
    <col min="2" max="2" width="3.25390625" style="0" customWidth="1"/>
    <col min="3" max="3" width="3.375" style="0" customWidth="1"/>
    <col min="4" max="4" width="9.75390625" style="0" customWidth="1"/>
    <col min="5" max="5" width="9.625" style="0" customWidth="1"/>
    <col min="6" max="8" width="9.75390625" style="0" customWidth="1"/>
    <col min="9" max="9" width="10.00390625" style="0" customWidth="1"/>
    <col min="10" max="10" width="9.375" style="0" customWidth="1"/>
    <col min="14" max="14" width="11.75390625" style="0" bestFit="1" customWidth="1"/>
    <col min="15" max="15" width="9.875" style="0" customWidth="1"/>
    <col min="16" max="16" width="12.75390625" style="0" customWidth="1"/>
  </cols>
  <sheetData>
    <row r="1" spans="1:17" ht="12.75">
      <c r="A1" s="52" t="s">
        <v>28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3" ht="12.75">
      <c r="A2" s="46"/>
      <c r="B2" s="46"/>
      <c r="C2" s="46"/>
      <c r="D2" s="46"/>
      <c r="E2" s="53" t="s">
        <v>29</v>
      </c>
      <c r="F2" s="53"/>
      <c r="G2" s="53"/>
      <c r="H2" s="54" t="s">
        <v>30</v>
      </c>
      <c r="I2" s="54"/>
      <c r="J2" s="54"/>
      <c r="K2" s="55" t="s">
        <v>31</v>
      </c>
      <c r="L2" s="55"/>
      <c r="M2" s="55"/>
    </row>
    <row r="3" spans="1:13" ht="12.75">
      <c r="A3" s="46"/>
      <c r="B3" s="46"/>
      <c r="C3" s="46"/>
      <c r="D3" s="46"/>
      <c r="E3" s="37" t="s">
        <v>32</v>
      </c>
      <c r="F3" s="37" t="s">
        <v>33</v>
      </c>
      <c r="G3" s="37" t="s">
        <v>34</v>
      </c>
      <c r="H3" s="38" t="s">
        <v>32</v>
      </c>
      <c r="I3" s="38" t="s">
        <v>33</v>
      </c>
      <c r="J3" s="38" t="s">
        <v>34</v>
      </c>
      <c r="K3" s="39" t="s">
        <v>32</v>
      </c>
      <c r="L3" s="39" t="s">
        <v>33</v>
      </c>
      <c r="M3" s="39" t="s">
        <v>34</v>
      </c>
    </row>
    <row r="4" spans="1:13" ht="12.75">
      <c r="A4" s="49" t="s">
        <v>16</v>
      </c>
      <c r="B4" s="49"/>
      <c r="C4" s="49"/>
      <c r="D4" s="49"/>
      <c r="E4" s="40">
        <v>11835.49</v>
      </c>
      <c r="F4" s="40">
        <v>0</v>
      </c>
      <c r="G4" s="40">
        <f>E4-F4</f>
        <v>11835.49</v>
      </c>
      <c r="H4" s="41">
        <v>6221.15</v>
      </c>
      <c r="I4" s="41">
        <v>0</v>
      </c>
      <c r="J4" s="41">
        <f>H4-I4</f>
        <v>6221.15</v>
      </c>
      <c r="K4" s="42">
        <v>0</v>
      </c>
      <c r="L4" s="42">
        <v>0</v>
      </c>
      <c r="M4" s="42">
        <f>K4-L4</f>
        <v>0</v>
      </c>
    </row>
    <row r="5" spans="1:13" ht="12.75">
      <c r="A5" s="51" t="s">
        <v>17</v>
      </c>
      <c r="B5" s="51"/>
      <c r="C5" s="51"/>
      <c r="D5" s="50"/>
      <c r="E5" s="40">
        <v>14528.78</v>
      </c>
      <c r="F5" s="40">
        <f>6175.61+2300.98+176.32</f>
        <v>8652.91</v>
      </c>
      <c r="G5" s="40">
        <f aca="true" t="shared" si="0" ref="G5:G13">E5-F5</f>
        <v>5875.870000000001</v>
      </c>
      <c r="H5" s="41">
        <v>7636.83</v>
      </c>
      <c r="I5" s="41">
        <f>3246.12+1209.47+92.68</f>
        <v>4548.27</v>
      </c>
      <c r="J5" s="41">
        <f aca="true" t="shared" si="1" ref="J5:J13">H5-I5</f>
        <v>3088.5599999999995</v>
      </c>
      <c r="K5" s="42">
        <v>0</v>
      </c>
      <c r="L5" s="42">
        <v>0</v>
      </c>
      <c r="M5" s="42">
        <f aca="true" t="shared" si="2" ref="M5:M13">K5-L5</f>
        <v>0</v>
      </c>
    </row>
    <row r="6" spans="1:13" ht="12.75">
      <c r="A6" s="51" t="s">
        <v>0</v>
      </c>
      <c r="B6" s="51"/>
      <c r="C6" s="51"/>
      <c r="D6" s="50"/>
      <c r="E6" s="40">
        <v>14308.38</v>
      </c>
      <c r="F6" s="40">
        <f>7170.8+2821.12+617.12</f>
        <v>10609.04</v>
      </c>
      <c r="G6" s="40">
        <f t="shared" si="0"/>
        <v>3699.3399999999983</v>
      </c>
      <c r="H6" s="41">
        <v>7520.98</v>
      </c>
      <c r="I6" s="41">
        <f>3864.93+1482.88+324.38</f>
        <v>5672.19</v>
      </c>
      <c r="J6" s="41">
        <f t="shared" si="1"/>
        <v>1848.79</v>
      </c>
      <c r="K6" s="42">
        <v>0</v>
      </c>
      <c r="L6" s="42">
        <v>0</v>
      </c>
      <c r="M6" s="42">
        <f t="shared" si="2"/>
        <v>0</v>
      </c>
    </row>
    <row r="7" spans="1:13" ht="12.75">
      <c r="A7" s="51" t="s">
        <v>1</v>
      </c>
      <c r="B7" s="51"/>
      <c r="C7" s="51"/>
      <c r="D7" s="50"/>
      <c r="E7" s="40">
        <v>14837.34</v>
      </c>
      <c r="F7" s="40">
        <f>10275.05+1402+440.8</f>
        <v>12117.849999999999</v>
      </c>
      <c r="G7" s="40">
        <f t="shared" si="0"/>
        <v>2719.4900000000016</v>
      </c>
      <c r="H7" s="41">
        <v>7799.02</v>
      </c>
      <c r="I7" s="41">
        <f>5400.93+779.25+231.7</f>
        <v>6411.88</v>
      </c>
      <c r="J7" s="41">
        <f t="shared" si="1"/>
        <v>1387.1400000000003</v>
      </c>
      <c r="K7" s="42">
        <v>899.33</v>
      </c>
      <c r="L7" s="42">
        <v>0</v>
      </c>
      <c r="M7" s="42">
        <f t="shared" si="2"/>
        <v>899.33</v>
      </c>
    </row>
    <row r="8" spans="1:13" ht="12.75">
      <c r="A8" s="51" t="s">
        <v>2</v>
      </c>
      <c r="B8" s="51"/>
      <c r="C8" s="51"/>
      <c r="D8" s="50"/>
      <c r="E8" s="40">
        <v>16926.02</v>
      </c>
      <c r="F8" s="40">
        <f>8106.47+5192.38+528.96</f>
        <v>13827.810000000001</v>
      </c>
      <c r="G8" s="40">
        <f t="shared" si="0"/>
        <v>3098.209999999999</v>
      </c>
      <c r="H8" s="41">
        <v>8821.65</v>
      </c>
      <c r="I8" s="41">
        <f>5046.59+2686.97+278.04</f>
        <v>8011.599999999999</v>
      </c>
      <c r="J8" s="41">
        <f t="shared" si="1"/>
        <v>810.0500000000002</v>
      </c>
      <c r="K8" s="42">
        <v>0</v>
      </c>
      <c r="L8" s="42">
        <f>1276.17+151.65+33.94</f>
        <v>1461.7600000000002</v>
      </c>
      <c r="M8" s="42">
        <f t="shared" si="2"/>
        <v>-1461.7600000000002</v>
      </c>
    </row>
    <row r="9" spans="1:13" ht="12.75">
      <c r="A9" s="51" t="s">
        <v>9</v>
      </c>
      <c r="B9" s="51"/>
      <c r="C9" s="51"/>
      <c r="D9" s="50"/>
      <c r="E9" s="40">
        <v>15414.43</v>
      </c>
      <c r="F9" s="40">
        <f>12570.51+3331.31+481.4</f>
        <v>16383.22</v>
      </c>
      <c r="G9" s="40">
        <f t="shared" si="0"/>
        <v>-968.789999999999</v>
      </c>
      <c r="H9" s="41">
        <v>8033.82</v>
      </c>
      <c r="I9" s="41">
        <f>6563.17+1736.23+250.9</f>
        <v>8550.3</v>
      </c>
      <c r="J9" s="41">
        <f t="shared" si="1"/>
        <v>-516.4799999999996</v>
      </c>
      <c r="K9" s="42">
        <v>0</v>
      </c>
      <c r="L9" s="42">
        <f>2247.23+1179.14</f>
        <v>3426.37</v>
      </c>
      <c r="M9" s="42">
        <f t="shared" si="2"/>
        <v>-3426.37</v>
      </c>
    </row>
    <row r="10" spans="1:13" ht="12.75">
      <c r="A10" s="51" t="s">
        <v>18</v>
      </c>
      <c r="B10" s="51"/>
      <c r="C10" s="51"/>
      <c r="D10" s="50"/>
      <c r="E10" s="40">
        <v>15063.01</v>
      </c>
      <c r="F10" s="40">
        <f>12362.85+4550.45+481.4</f>
        <v>17394.7</v>
      </c>
      <c r="G10" s="40">
        <f t="shared" si="0"/>
        <v>-2331.6900000000005</v>
      </c>
      <c r="H10" s="41">
        <v>7850.67</v>
      </c>
      <c r="I10" s="41">
        <f>5842.26+2373.21+250.9</f>
        <v>8466.37</v>
      </c>
      <c r="J10" s="41">
        <f t="shared" si="1"/>
        <v>-615.7000000000007</v>
      </c>
      <c r="K10" s="42">
        <v>0</v>
      </c>
      <c r="L10" s="42">
        <f>23.33+31.3</f>
        <v>54.629999999999995</v>
      </c>
      <c r="M10" s="42">
        <f t="shared" si="2"/>
        <v>-54.629999999999995</v>
      </c>
    </row>
    <row r="11" spans="1:13" ht="12.75">
      <c r="A11" s="51" t="s">
        <v>19</v>
      </c>
      <c r="B11" s="51"/>
      <c r="C11" s="51"/>
      <c r="D11" s="50"/>
      <c r="E11" s="40">
        <v>14605.68</v>
      </c>
      <c r="F11" s="40">
        <f>10326.03+3427.57+433.26</f>
        <v>14186.86</v>
      </c>
      <c r="G11" s="40">
        <f t="shared" si="0"/>
        <v>418.8199999999997</v>
      </c>
      <c r="H11" s="41">
        <f>7612.31</f>
        <v>7612.31</v>
      </c>
      <c r="I11" s="41">
        <f>5385.65+1786.41+225.41</f>
        <v>7397.469999999999</v>
      </c>
      <c r="J11" s="41">
        <f t="shared" si="1"/>
        <v>214.84000000000106</v>
      </c>
      <c r="K11" s="42">
        <v>0</v>
      </c>
      <c r="L11" s="42">
        <v>15.87</v>
      </c>
      <c r="M11" s="42">
        <f t="shared" si="2"/>
        <v>-15.87</v>
      </c>
    </row>
    <row r="12" spans="1:13" ht="12.75">
      <c r="A12" s="51" t="s">
        <v>20</v>
      </c>
      <c r="B12" s="51"/>
      <c r="C12" s="51"/>
      <c r="D12" s="50"/>
      <c r="E12" s="40">
        <v>16146.16</v>
      </c>
      <c r="F12" s="40">
        <f>12117.06+3186.87+625.82</f>
        <v>15929.75</v>
      </c>
      <c r="G12" s="40">
        <f t="shared" si="0"/>
        <v>216.40999999999985</v>
      </c>
      <c r="H12" s="41">
        <v>8415.19</v>
      </c>
      <c r="I12" s="41">
        <f>5991.11+1660.96+326.17</f>
        <v>7978.24</v>
      </c>
      <c r="J12" s="41">
        <f t="shared" si="1"/>
        <v>436.9500000000007</v>
      </c>
      <c r="K12" s="42">
        <v>558.53</v>
      </c>
      <c r="L12" s="42">
        <v>20.72</v>
      </c>
      <c r="M12" s="42">
        <f t="shared" si="2"/>
        <v>537.81</v>
      </c>
    </row>
    <row r="13" spans="1:13" ht="12.75">
      <c r="A13" s="51" t="s">
        <v>21</v>
      </c>
      <c r="B13" s="51"/>
      <c r="C13" s="51"/>
      <c r="D13" s="50"/>
      <c r="E13" s="40">
        <v>14220.56</v>
      </c>
      <c r="F13" s="40">
        <f>13227.56+4438.51</f>
        <v>17666.07</v>
      </c>
      <c r="G13" s="40">
        <f t="shared" si="0"/>
        <v>-3445.51</v>
      </c>
      <c r="H13" s="41">
        <v>7411.59</v>
      </c>
      <c r="I13" s="41">
        <f>6121.96+2564.2</f>
        <v>8686.16</v>
      </c>
      <c r="J13" s="41">
        <f t="shared" si="1"/>
        <v>-1274.5699999999997</v>
      </c>
      <c r="K13" s="42">
        <v>0</v>
      </c>
      <c r="L13" s="42">
        <f>328.87+130.96</f>
        <v>459.83000000000004</v>
      </c>
      <c r="M13" s="42">
        <f t="shared" si="2"/>
        <v>-459.83000000000004</v>
      </c>
    </row>
    <row r="14" spans="1:13" ht="12.75">
      <c r="A14" s="67" t="s">
        <v>35</v>
      </c>
      <c r="B14" s="67"/>
      <c r="C14" s="67"/>
      <c r="D14" s="67"/>
      <c r="E14" s="43">
        <f aca="true" t="shared" si="3" ref="E14:M14">SUM(E4:E13)</f>
        <v>147885.85</v>
      </c>
      <c r="F14" s="43">
        <f t="shared" si="3"/>
        <v>126768.20999999999</v>
      </c>
      <c r="G14" s="43">
        <f t="shared" si="3"/>
        <v>21117.64</v>
      </c>
      <c r="H14" s="43">
        <f t="shared" si="3"/>
        <v>77323.20999999999</v>
      </c>
      <c r="I14" s="43">
        <f t="shared" si="3"/>
        <v>65722.48</v>
      </c>
      <c r="J14" s="43">
        <f t="shared" si="3"/>
        <v>11600.73</v>
      </c>
      <c r="K14" s="43">
        <f t="shared" si="3"/>
        <v>1457.8600000000001</v>
      </c>
      <c r="L14" s="43">
        <f t="shared" si="3"/>
        <v>5439.18</v>
      </c>
      <c r="M14" s="43">
        <f t="shared" si="3"/>
        <v>-3981.32</v>
      </c>
    </row>
    <row r="18" spans="1:17" ht="12.75">
      <c r="A18" s="47" t="s">
        <v>25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10"/>
    </row>
    <row r="19" spans="1:17" ht="42" customHeight="1">
      <c r="A19" s="10"/>
      <c r="B19" s="11" t="s">
        <v>4</v>
      </c>
      <c r="C19" s="16" t="s">
        <v>5</v>
      </c>
      <c r="D19" s="48" t="s">
        <v>3</v>
      </c>
      <c r="E19" s="48"/>
      <c r="F19" s="48"/>
      <c r="G19" s="56" t="s">
        <v>36</v>
      </c>
      <c r="H19" s="56" t="s">
        <v>37</v>
      </c>
      <c r="I19" s="56" t="s">
        <v>38</v>
      </c>
      <c r="J19" s="56" t="s">
        <v>39</v>
      </c>
      <c r="K19" s="48" t="s">
        <v>8</v>
      </c>
      <c r="L19" s="48"/>
      <c r="M19" s="48"/>
      <c r="N19" s="48"/>
      <c r="O19" s="64" t="s">
        <v>7</v>
      </c>
      <c r="P19" s="60" t="s">
        <v>43</v>
      </c>
      <c r="Q19" s="58" t="s">
        <v>44</v>
      </c>
    </row>
    <row r="20" spans="1:17" ht="43.5" customHeight="1">
      <c r="A20" s="10"/>
      <c r="B20" s="12"/>
      <c r="C20" s="17" t="s">
        <v>6</v>
      </c>
      <c r="D20" s="13" t="s">
        <v>11</v>
      </c>
      <c r="E20" s="13" t="s">
        <v>12</v>
      </c>
      <c r="F20" s="13" t="s">
        <v>13</v>
      </c>
      <c r="G20" s="63"/>
      <c r="H20" s="63"/>
      <c r="I20" s="63"/>
      <c r="J20" s="63"/>
      <c r="K20" s="56" t="s">
        <v>40</v>
      </c>
      <c r="L20" s="56" t="s">
        <v>41</v>
      </c>
      <c r="M20" s="56" t="s">
        <v>45</v>
      </c>
      <c r="N20" s="56" t="s">
        <v>42</v>
      </c>
      <c r="O20" s="65"/>
      <c r="P20" s="61"/>
      <c r="Q20" s="59"/>
    </row>
    <row r="21" spans="2:17" ht="12.75">
      <c r="B21" s="3">
        <v>3344.1</v>
      </c>
      <c r="C21" s="2"/>
      <c r="D21" s="19"/>
      <c r="E21" s="19"/>
      <c r="F21" s="19">
        <v>193643.84</v>
      </c>
      <c r="G21" s="57"/>
      <c r="H21" s="57"/>
      <c r="I21" s="57"/>
      <c r="J21" s="57"/>
      <c r="K21" s="57"/>
      <c r="L21" s="57"/>
      <c r="M21" s="57"/>
      <c r="N21" s="57"/>
      <c r="O21" s="66"/>
      <c r="P21" s="62"/>
      <c r="Q21" s="20">
        <v>0</v>
      </c>
    </row>
    <row r="22" spans="1:17" ht="12.75">
      <c r="A22" s="4" t="s">
        <v>14</v>
      </c>
      <c r="B22" s="4"/>
      <c r="C22" s="14"/>
      <c r="D22" s="6">
        <f>10191.3+1045</f>
        <v>11236.3</v>
      </c>
      <c r="E22" s="5">
        <f>4367.7+423.19</f>
        <v>4790.889999999999</v>
      </c>
      <c r="F22" s="7">
        <f aca="true" t="shared" si="4" ref="F22:F35">SUM(D22:E22)</f>
        <v>16027.189999999999</v>
      </c>
      <c r="G22" s="8">
        <f aca="true" t="shared" si="5" ref="G22:G33">SUM(F22*0.09)</f>
        <v>1442.4470999999999</v>
      </c>
      <c r="H22" s="9">
        <v>0</v>
      </c>
      <c r="I22" s="8">
        <v>3597.4</v>
      </c>
      <c r="J22" s="8">
        <v>0</v>
      </c>
      <c r="K22" s="8">
        <f>B21*1.4</f>
        <v>4681.74</v>
      </c>
      <c r="L22" s="8">
        <v>372.96</v>
      </c>
      <c r="M22" s="8">
        <v>1680</v>
      </c>
      <c r="N22" s="8">
        <f aca="true" t="shared" si="6" ref="N22:N35">SUM(F22*0.15)</f>
        <v>2404.0784999999996</v>
      </c>
      <c r="O22" s="9">
        <f aca="true" t="shared" si="7" ref="O22:O35">SUM(G22:N22)</f>
        <v>14178.6256</v>
      </c>
      <c r="P22" s="15">
        <f aca="true" t="shared" si="8" ref="P22:P36">F22-O22</f>
        <v>1848.5643999999993</v>
      </c>
      <c r="Q22" s="18">
        <v>22.2</v>
      </c>
    </row>
    <row r="23" spans="1:17" ht="12.75">
      <c r="A23" s="4" t="s">
        <v>15</v>
      </c>
      <c r="B23" s="4"/>
      <c r="C23" s="14"/>
      <c r="D23" s="6">
        <f>15077.57+2015.3</f>
        <v>17092.87</v>
      </c>
      <c r="E23" s="5">
        <f>6393+819.3</f>
        <v>7212.3</v>
      </c>
      <c r="F23" s="7">
        <f t="shared" si="4"/>
        <v>24305.17</v>
      </c>
      <c r="G23" s="8">
        <f t="shared" si="5"/>
        <v>2187.4653</v>
      </c>
      <c r="H23" s="9">
        <v>0</v>
      </c>
      <c r="I23" s="8">
        <v>3597.4</v>
      </c>
      <c r="J23" s="8">
        <v>0</v>
      </c>
      <c r="K23" s="8">
        <f>B21*1.4</f>
        <v>4681.74</v>
      </c>
      <c r="L23" s="8">
        <v>372.96</v>
      </c>
      <c r="M23" s="8">
        <v>1680</v>
      </c>
      <c r="N23" s="8">
        <f t="shared" si="6"/>
        <v>3645.7754999999997</v>
      </c>
      <c r="O23" s="9">
        <f t="shared" si="7"/>
        <v>16165.340799999998</v>
      </c>
      <c r="P23" s="15">
        <f t="shared" si="8"/>
        <v>8139.8292</v>
      </c>
      <c r="Q23" s="18">
        <v>0</v>
      </c>
    </row>
    <row r="24" spans="1:17" ht="12.75">
      <c r="A24" s="4" t="s">
        <v>16</v>
      </c>
      <c r="B24" s="4"/>
      <c r="C24" s="14"/>
      <c r="D24" s="6">
        <f>9826.4+3082.1</f>
        <v>12908.5</v>
      </c>
      <c r="E24" s="5">
        <f>4141.5+1402.71</f>
        <v>5544.21</v>
      </c>
      <c r="F24" s="7">
        <f t="shared" si="4"/>
        <v>18452.71</v>
      </c>
      <c r="G24" s="8">
        <f t="shared" si="5"/>
        <v>1660.7439</v>
      </c>
      <c r="H24" s="9">
        <v>3344.1</v>
      </c>
      <c r="I24" s="8">
        <v>3597.4</v>
      </c>
      <c r="J24" s="8">
        <v>376</v>
      </c>
      <c r="K24" s="8">
        <v>4681.74</v>
      </c>
      <c r="L24" s="8">
        <f>372.96+11000</f>
        <v>11372.96</v>
      </c>
      <c r="M24" s="8">
        <v>1680</v>
      </c>
      <c r="N24" s="8">
        <f t="shared" si="6"/>
        <v>2767.9064999999996</v>
      </c>
      <c r="O24" s="9">
        <f t="shared" si="7"/>
        <v>29480.8504</v>
      </c>
      <c r="P24" s="15">
        <f t="shared" si="8"/>
        <v>-11028.1404</v>
      </c>
      <c r="Q24" s="18">
        <v>0</v>
      </c>
    </row>
    <row r="25" spans="1:17" ht="12.75">
      <c r="A25" s="4" t="s">
        <v>17</v>
      </c>
      <c r="B25" s="4"/>
      <c r="C25" s="14"/>
      <c r="D25" s="6">
        <f>12002.41+3177.6+451.2</f>
        <v>15631.210000000001</v>
      </c>
      <c r="E25" s="5">
        <f>4789+1191.6+169.2</f>
        <v>6149.8</v>
      </c>
      <c r="F25" s="7">
        <f t="shared" si="4"/>
        <v>21781.010000000002</v>
      </c>
      <c r="G25" s="8">
        <f t="shared" si="5"/>
        <v>1960.2909000000002</v>
      </c>
      <c r="H25" s="9">
        <v>3344.1</v>
      </c>
      <c r="I25" s="8">
        <v>3597.4</v>
      </c>
      <c r="J25" s="8">
        <f>1653+393+275</f>
        <v>2321</v>
      </c>
      <c r="K25" s="8">
        <v>4681.74</v>
      </c>
      <c r="L25" s="8">
        <f>2664+35000</f>
        <v>37664</v>
      </c>
      <c r="M25" s="8">
        <v>1680</v>
      </c>
      <c r="N25" s="8">
        <f t="shared" si="6"/>
        <v>3267.1515000000004</v>
      </c>
      <c r="O25" s="9">
        <f t="shared" si="7"/>
        <v>58515.6824</v>
      </c>
      <c r="P25" s="15">
        <f t="shared" si="8"/>
        <v>-36734.672399999996</v>
      </c>
      <c r="Q25" s="18">
        <v>0</v>
      </c>
    </row>
    <row r="26" spans="1:17" ht="12.75">
      <c r="A26" s="4" t="s">
        <v>0</v>
      </c>
      <c r="B26" s="4"/>
      <c r="C26" s="14"/>
      <c r="D26" s="6">
        <f>12847.6+4278.4+1361.05</f>
        <v>18487.05</v>
      </c>
      <c r="E26" s="5">
        <f>4855.5+1641.96+532.8</f>
        <v>7030.26</v>
      </c>
      <c r="F26" s="7">
        <f t="shared" si="4"/>
        <v>25517.309999999998</v>
      </c>
      <c r="G26" s="8">
        <f t="shared" si="5"/>
        <v>2296.5579</v>
      </c>
      <c r="H26" s="9">
        <v>3344.1</v>
      </c>
      <c r="I26" s="8">
        <v>3597.4</v>
      </c>
      <c r="J26" s="8">
        <v>0</v>
      </c>
      <c r="K26" s="8">
        <v>4681.74</v>
      </c>
      <c r="L26" s="8">
        <f>2664+2284.62</f>
        <v>4948.62</v>
      </c>
      <c r="M26" s="8">
        <v>0</v>
      </c>
      <c r="N26" s="8">
        <f t="shared" si="6"/>
        <v>3827.5964999999997</v>
      </c>
      <c r="O26" s="9">
        <f t="shared" si="7"/>
        <v>22696.0144</v>
      </c>
      <c r="P26" s="15">
        <f t="shared" si="8"/>
        <v>2821.2955999999976</v>
      </c>
      <c r="Q26" s="18">
        <v>0</v>
      </c>
    </row>
    <row r="27" spans="1:17" ht="12.75">
      <c r="A27" s="4" t="s">
        <v>1</v>
      </c>
      <c r="B27" s="4"/>
      <c r="C27" s="14"/>
      <c r="D27" s="6">
        <f>13764.7+3668.8+936</f>
        <v>18369.5</v>
      </c>
      <c r="E27" s="5">
        <f>5153.4+1418.24+351</f>
        <v>6922.639999999999</v>
      </c>
      <c r="F27" s="7">
        <f t="shared" si="4"/>
        <v>25292.14</v>
      </c>
      <c r="G27" s="8">
        <f t="shared" si="5"/>
        <v>2276.2925999999998</v>
      </c>
      <c r="H27" s="9">
        <v>3344.1</v>
      </c>
      <c r="I27" s="8">
        <v>3597.4</v>
      </c>
      <c r="J27" s="8">
        <v>10537</v>
      </c>
      <c r="K27" s="8">
        <v>4681.74</v>
      </c>
      <c r="L27" s="8">
        <v>2664</v>
      </c>
      <c r="M27" s="8">
        <v>0</v>
      </c>
      <c r="N27" s="8">
        <f t="shared" si="6"/>
        <v>3793.821</v>
      </c>
      <c r="O27" s="9">
        <f t="shared" si="7"/>
        <v>30894.3536</v>
      </c>
      <c r="P27" s="15">
        <f t="shared" si="8"/>
        <v>-5602.213599999999</v>
      </c>
      <c r="Q27" s="18">
        <v>0</v>
      </c>
    </row>
    <row r="28" spans="1:17" ht="12.75">
      <c r="A28" s="4" t="s">
        <v>2</v>
      </c>
      <c r="B28" s="4"/>
      <c r="C28" s="14"/>
      <c r="D28" s="6">
        <f>11308.8+5611.85+935.15</f>
        <v>17855.800000000003</v>
      </c>
      <c r="E28" s="5">
        <f>4240.8+2237.21+351.33</f>
        <v>6829.34</v>
      </c>
      <c r="F28" s="7">
        <f t="shared" si="4"/>
        <v>24685.140000000003</v>
      </c>
      <c r="G28" s="8">
        <f t="shared" si="5"/>
        <v>2221.6626</v>
      </c>
      <c r="H28" s="9">
        <v>3344.1</v>
      </c>
      <c r="I28" s="8">
        <v>3597.4</v>
      </c>
      <c r="J28" s="8">
        <v>14092</v>
      </c>
      <c r="K28" s="8">
        <v>4681.74</v>
      </c>
      <c r="L28" s="8">
        <v>2664</v>
      </c>
      <c r="M28" s="8">
        <v>0</v>
      </c>
      <c r="N28" s="8">
        <f t="shared" si="6"/>
        <v>3702.771</v>
      </c>
      <c r="O28" s="9">
        <f t="shared" si="7"/>
        <v>34303.6736</v>
      </c>
      <c r="P28" s="15">
        <f t="shared" si="8"/>
        <v>-9618.533599999999</v>
      </c>
      <c r="Q28" s="18">
        <v>0</v>
      </c>
    </row>
    <row r="29" spans="1:17" ht="12.75">
      <c r="A29" s="4" t="s">
        <v>9</v>
      </c>
      <c r="B29" s="4"/>
      <c r="C29" s="14"/>
      <c r="D29" s="6">
        <f>12371.45+6218.25+1119.81</f>
        <v>19709.510000000002</v>
      </c>
      <c r="E29" s="5">
        <f>5384.8+2224.79+350.67</f>
        <v>7960.26</v>
      </c>
      <c r="F29" s="7">
        <f t="shared" si="4"/>
        <v>27669.770000000004</v>
      </c>
      <c r="G29" s="8">
        <f t="shared" si="5"/>
        <v>2490.2793</v>
      </c>
      <c r="H29" s="9">
        <v>3344.1</v>
      </c>
      <c r="I29" s="8">
        <v>3597.4</v>
      </c>
      <c r="J29" s="8">
        <v>0</v>
      </c>
      <c r="K29" s="8">
        <v>4681.74</v>
      </c>
      <c r="L29" s="8">
        <v>2664</v>
      </c>
      <c r="M29" s="8">
        <v>0</v>
      </c>
      <c r="N29" s="8">
        <f t="shared" si="6"/>
        <v>4150.4655</v>
      </c>
      <c r="O29" s="9">
        <f t="shared" si="7"/>
        <v>20927.9848</v>
      </c>
      <c r="P29" s="15">
        <f t="shared" si="8"/>
        <v>6741.785200000006</v>
      </c>
      <c r="Q29" s="18">
        <v>23.75</v>
      </c>
    </row>
    <row r="30" spans="1:17" ht="12.75">
      <c r="A30" s="4" t="s">
        <v>18</v>
      </c>
      <c r="B30" s="4"/>
      <c r="C30" s="14"/>
      <c r="D30" s="6">
        <f>14458.53+10952.14+756.79</f>
        <v>26167.46</v>
      </c>
      <c r="E30" s="5">
        <f>7975.6+4487.1+351</f>
        <v>12813.7</v>
      </c>
      <c r="F30" s="7">
        <f t="shared" si="4"/>
        <v>38981.16</v>
      </c>
      <c r="G30" s="8">
        <f t="shared" si="5"/>
        <v>3508.3044</v>
      </c>
      <c r="H30" s="9">
        <v>3344.1</v>
      </c>
      <c r="I30" s="8">
        <v>3597.4</v>
      </c>
      <c r="J30" s="8">
        <v>5451</v>
      </c>
      <c r="K30" s="8">
        <v>4681.74</v>
      </c>
      <c r="L30" s="8">
        <f>3096.96+4000+6000</f>
        <v>13096.96</v>
      </c>
      <c r="M30" s="8">
        <v>0</v>
      </c>
      <c r="N30" s="8">
        <f t="shared" si="6"/>
        <v>5847.174</v>
      </c>
      <c r="O30" s="9">
        <f t="shared" si="7"/>
        <v>39526.6784</v>
      </c>
      <c r="P30" s="15">
        <f t="shared" si="8"/>
        <v>-545.5183999999936</v>
      </c>
      <c r="Q30" s="18">
        <v>248.6</v>
      </c>
    </row>
    <row r="31" spans="1:17" ht="12.75">
      <c r="A31" s="4" t="s">
        <v>19</v>
      </c>
      <c r="B31" s="4"/>
      <c r="C31" s="14"/>
      <c r="D31" s="6">
        <f>20507.01+4737.91+931.4</f>
        <v>26176.32</v>
      </c>
      <c r="E31" s="5">
        <f>7148.1+1776.6+351</f>
        <v>9275.7</v>
      </c>
      <c r="F31" s="7">
        <f t="shared" si="4"/>
        <v>35452.020000000004</v>
      </c>
      <c r="G31" s="8">
        <f t="shared" si="5"/>
        <v>3190.6818000000003</v>
      </c>
      <c r="H31" s="9">
        <v>3344.1</v>
      </c>
      <c r="I31" s="8">
        <v>3597.4</v>
      </c>
      <c r="J31" s="8">
        <v>4362</v>
      </c>
      <c r="K31" s="8">
        <v>4681.74</v>
      </c>
      <c r="L31" s="8">
        <v>3096.96</v>
      </c>
      <c r="M31" s="8">
        <v>1680</v>
      </c>
      <c r="N31" s="8">
        <f t="shared" si="6"/>
        <v>5317.803000000001</v>
      </c>
      <c r="O31" s="9">
        <f t="shared" si="7"/>
        <v>29270.6848</v>
      </c>
      <c r="P31" s="15">
        <f t="shared" si="8"/>
        <v>6181.335200000005</v>
      </c>
      <c r="Q31" s="18">
        <v>0</v>
      </c>
    </row>
    <row r="32" spans="1:17" ht="12.75">
      <c r="A32" s="4" t="s">
        <v>20</v>
      </c>
      <c r="B32" s="4"/>
      <c r="C32" s="14"/>
      <c r="D32" s="6">
        <f>11183.35+4784.88+1659.2</f>
        <v>17627.43</v>
      </c>
      <c r="E32" s="5">
        <f>4461+2049.04+622</f>
        <v>7132.04</v>
      </c>
      <c r="F32" s="7">
        <f t="shared" si="4"/>
        <v>24759.47</v>
      </c>
      <c r="G32" s="8">
        <f t="shared" si="5"/>
        <v>2228.3523</v>
      </c>
      <c r="H32" s="9">
        <v>3344.1</v>
      </c>
      <c r="I32" s="8">
        <v>3597.4</v>
      </c>
      <c r="J32" s="8">
        <v>0</v>
      </c>
      <c r="K32" s="8">
        <v>4681.74</v>
      </c>
      <c r="L32" s="8">
        <f>3096.96+5792+2000</f>
        <v>10888.96</v>
      </c>
      <c r="M32" s="8">
        <v>1680</v>
      </c>
      <c r="N32" s="8">
        <f t="shared" si="6"/>
        <v>3713.9205</v>
      </c>
      <c r="O32" s="9">
        <f t="shared" si="7"/>
        <v>30134.4728</v>
      </c>
      <c r="P32" s="15">
        <f t="shared" si="8"/>
        <v>-5375.002799999998</v>
      </c>
      <c r="Q32" s="18">
        <v>0</v>
      </c>
    </row>
    <row r="33" spans="1:17" ht="12.75">
      <c r="A33" s="4" t="s">
        <v>21</v>
      </c>
      <c r="B33" s="4"/>
      <c r="C33" s="14"/>
      <c r="D33" s="6">
        <f>23824+5991.2</f>
        <v>29815.2</v>
      </c>
      <c r="E33" s="5">
        <f>8684+2298.9</f>
        <v>10982.9</v>
      </c>
      <c r="F33" s="7">
        <f t="shared" si="4"/>
        <v>40798.1</v>
      </c>
      <c r="G33" s="8">
        <f t="shared" si="5"/>
        <v>3671.8289999999997</v>
      </c>
      <c r="H33" s="9">
        <v>3344.1</v>
      </c>
      <c r="I33" s="8">
        <v>3597.4</v>
      </c>
      <c r="J33" s="8">
        <v>0</v>
      </c>
      <c r="K33" s="8">
        <v>4681.74</v>
      </c>
      <c r="L33" s="8">
        <v>3096.96</v>
      </c>
      <c r="M33" s="8">
        <v>1680</v>
      </c>
      <c r="N33" s="8">
        <f t="shared" si="6"/>
        <v>6119.714999999999</v>
      </c>
      <c r="O33" s="9">
        <f t="shared" si="7"/>
        <v>26191.744</v>
      </c>
      <c r="P33" s="15">
        <f t="shared" si="8"/>
        <v>14606.356</v>
      </c>
      <c r="Q33" s="18">
        <v>0</v>
      </c>
    </row>
    <row r="34" spans="1:17" ht="12.75">
      <c r="A34" s="29" t="s">
        <v>22</v>
      </c>
      <c r="B34" s="29"/>
      <c r="C34" s="30"/>
      <c r="D34" s="6">
        <f>900+900+900+900</f>
        <v>3600</v>
      </c>
      <c r="E34" s="5">
        <v>0</v>
      </c>
      <c r="F34" s="7">
        <f t="shared" si="4"/>
        <v>3600</v>
      </c>
      <c r="G34" s="8">
        <f>SUM(F34*0.06)</f>
        <v>216</v>
      </c>
      <c r="H34" s="9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f t="shared" si="6"/>
        <v>540</v>
      </c>
      <c r="O34" s="9">
        <f t="shared" si="7"/>
        <v>756</v>
      </c>
      <c r="P34" s="15">
        <f t="shared" si="8"/>
        <v>2844</v>
      </c>
      <c r="Q34" s="18">
        <v>0</v>
      </c>
    </row>
    <row r="35" spans="1:17" ht="12.75">
      <c r="A35" s="29" t="s">
        <v>23</v>
      </c>
      <c r="B35" s="29"/>
      <c r="C35" s="30"/>
      <c r="D35" s="6">
        <f>12671.58+12671.59+12671.58+25343.16</f>
        <v>63357.91</v>
      </c>
      <c r="E35" s="5">
        <v>0</v>
      </c>
      <c r="F35" s="7">
        <f t="shared" si="4"/>
        <v>63357.91</v>
      </c>
      <c r="G35" s="8">
        <f>SUM(F35*0.06)</f>
        <v>3801.4746</v>
      </c>
      <c r="H35" s="9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f t="shared" si="6"/>
        <v>9503.6865</v>
      </c>
      <c r="O35" s="9">
        <f t="shared" si="7"/>
        <v>13305.1611</v>
      </c>
      <c r="P35" s="15">
        <f t="shared" si="8"/>
        <v>50052.748900000006</v>
      </c>
      <c r="Q35" s="18">
        <v>0</v>
      </c>
    </row>
    <row r="36" spans="1:17" ht="12.75">
      <c r="A36" s="21" t="s">
        <v>13</v>
      </c>
      <c r="B36" s="21"/>
      <c r="C36" s="22"/>
      <c r="D36" s="25">
        <f>SUM(D22:D35)</f>
        <v>298035.06</v>
      </c>
      <c r="E36" s="26">
        <f>SUM(E22:E35)</f>
        <v>92644.04</v>
      </c>
      <c r="F36" s="27">
        <f>SUM(F21:F35)</f>
        <v>584322.9400000001</v>
      </c>
      <c r="G36" s="24">
        <f aca="true" t="shared" si="9" ref="G36:O36">SUM(G22:G35)</f>
        <v>33152.3817</v>
      </c>
      <c r="H36" s="23">
        <f t="shared" si="9"/>
        <v>33440.99999999999</v>
      </c>
      <c r="I36" s="24">
        <f t="shared" si="9"/>
        <v>43168.80000000001</v>
      </c>
      <c r="J36" s="24">
        <f t="shared" si="9"/>
        <v>37139</v>
      </c>
      <c r="K36" s="24">
        <f t="shared" si="9"/>
        <v>56180.87999999998</v>
      </c>
      <c r="L36" s="27">
        <f t="shared" si="9"/>
        <v>92903.34000000001</v>
      </c>
      <c r="M36" s="27">
        <f t="shared" si="9"/>
        <v>11760</v>
      </c>
      <c r="N36" s="27">
        <f t="shared" si="9"/>
        <v>58601.86499999999</v>
      </c>
      <c r="O36" s="25">
        <f t="shared" si="9"/>
        <v>366347.26670000004</v>
      </c>
      <c r="P36" s="31">
        <f t="shared" si="8"/>
        <v>217975.67330000002</v>
      </c>
      <c r="Q36" s="21">
        <f>SUM(Q21:Q35)</f>
        <v>294.55</v>
      </c>
    </row>
    <row r="37" ht="12.75">
      <c r="Q37" s="36">
        <f>Q36*0.91</f>
        <v>268.0405</v>
      </c>
    </row>
    <row r="38" spans="4:14" ht="12.75">
      <c r="D38" t="s">
        <v>16</v>
      </c>
      <c r="E38" s="35" t="s">
        <v>26</v>
      </c>
      <c r="F38" t="s">
        <v>27</v>
      </c>
      <c r="N38" s="1"/>
    </row>
    <row r="39" spans="4:17" ht="12.75">
      <c r="D39" t="s">
        <v>17</v>
      </c>
      <c r="E39" t="s">
        <v>47</v>
      </c>
      <c r="F39" t="s">
        <v>48</v>
      </c>
      <c r="P39" s="32"/>
      <c r="Q39" s="33"/>
    </row>
    <row r="40" spans="4:17" ht="12.75">
      <c r="D40" s="44" t="s">
        <v>0</v>
      </c>
      <c r="E40" s="44" t="s">
        <v>49</v>
      </c>
      <c r="F40" s="44" t="s">
        <v>46</v>
      </c>
      <c r="P40" s="32"/>
      <c r="Q40" s="33"/>
    </row>
    <row r="41" spans="4:17" ht="12.75">
      <c r="D41" s="45" t="s">
        <v>18</v>
      </c>
      <c r="E41" s="45" t="s">
        <v>24</v>
      </c>
      <c r="F41" s="45" t="s">
        <v>50</v>
      </c>
      <c r="P41" s="32"/>
      <c r="Q41" s="33"/>
    </row>
    <row r="42" spans="4:17" ht="12.75">
      <c r="D42" s="44"/>
      <c r="E42" s="45" t="s">
        <v>51</v>
      </c>
      <c r="F42" s="45" t="s">
        <v>52</v>
      </c>
      <c r="P42" s="32"/>
      <c r="Q42" s="33"/>
    </row>
    <row r="43" spans="4:17" ht="12.75">
      <c r="D43" s="44" t="s">
        <v>20</v>
      </c>
      <c r="E43" s="45" t="s">
        <v>53</v>
      </c>
      <c r="F43" s="45" t="s">
        <v>54</v>
      </c>
      <c r="P43" s="32"/>
      <c r="Q43" s="33"/>
    </row>
    <row r="44" spans="4:17" ht="12.75">
      <c r="D44" s="44"/>
      <c r="E44" s="45" t="s">
        <v>55</v>
      </c>
      <c r="F44" s="45" t="s">
        <v>56</v>
      </c>
      <c r="P44" s="32"/>
      <c r="Q44" s="33"/>
    </row>
    <row r="45" spans="4:17" ht="12.75">
      <c r="D45" s="44"/>
      <c r="E45" s="44"/>
      <c r="F45" s="44"/>
      <c r="P45" s="32"/>
      <c r="Q45" s="33"/>
    </row>
    <row r="46" spans="4:17" ht="12.75">
      <c r="D46" s="44"/>
      <c r="E46" s="44"/>
      <c r="F46" s="44"/>
      <c r="P46" s="32"/>
      <c r="Q46" s="33"/>
    </row>
    <row r="47" spans="11:17" ht="12.75">
      <c r="K47" s="28"/>
      <c r="L47" s="28"/>
      <c r="M47" s="28"/>
      <c r="N47" s="28"/>
      <c r="O47" s="28"/>
      <c r="P47" s="28"/>
      <c r="Q47" s="28"/>
    </row>
    <row r="48" spans="7:13" ht="12.75">
      <c r="G48" s="28" t="s">
        <v>10</v>
      </c>
      <c r="H48" s="28"/>
      <c r="I48" s="28"/>
      <c r="J48" s="28"/>
      <c r="K48" s="28"/>
      <c r="L48" s="28"/>
      <c r="M48" s="28"/>
    </row>
    <row r="52" spans="12:14" ht="12.75">
      <c r="L52" s="34" t="s">
        <v>57</v>
      </c>
      <c r="N52" s="68">
        <f>P36+Q37</f>
        <v>218243.71380000003</v>
      </c>
    </row>
  </sheetData>
  <sheetProtection/>
  <mergeCells count="31">
    <mergeCell ref="A13:D13"/>
    <mergeCell ref="A12:D12"/>
    <mergeCell ref="A11:D11"/>
    <mergeCell ref="A10:D10"/>
    <mergeCell ref="A9:D9"/>
    <mergeCell ref="G19:G21"/>
    <mergeCell ref="H19:H21"/>
    <mergeCell ref="A14:D14"/>
    <mergeCell ref="A5:D5"/>
    <mergeCell ref="A6:D6"/>
    <mergeCell ref="A7:D7"/>
    <mergeCell ref="A18:P18"/>
    <mergeCell ref="D19:F19"/>
    <mergeCell ref="J19:J21"/>
    <mergeCell ref="K20:K21"/>
    <mergeCell ref="M20:M21"/>
    <mergeCell ref="N20:N21"/>
    <mergeCell ref="O19:O21"/>
    <mergeCell ref="L20:L21"/>
    <mergeCell ref="Q19:Q20"/>
    <mergeCell ref="A4:D4"/>
    <mergeCell ref="K19:N19"/>
    <mergeCell ref="P19:P21"/>
    <mergeCell ref="I19:I21"/>
    <mergeCell ref="A8:D8"/>
    <mergeCell ref="A1:Q1"/>
    <mergeCell ref="A2:D2"/>
    <mergeCell ref="E2:G2"/>
    <mergeCell ref="H2:J2"/>
    <mergeCell ref="K2:M2"/>
    <mergeCell ref="A3:D3"/>
  </mergeCells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2015-02-16T05:07:04Z</cp:lastPrinted>
  <dcterms:created xsi:type="dcterms:W3CDTF">2007-02-04T12:22:59Z</dcterms:created>
  <dcterms:modified xsi:type="dcterms:W3CDTF">2016-02-03T05:52:24Z</dcterms:modified>
  <cp:category/>
  <cp:version/>
  <cp:contentType/>
  <cp:contentStatus/>
</cp:coreProperties>
</file>