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05" windowWidth="12225" windowHeight="4695"/>
  </bookViews>
  <sheets>
    <sheet name="2016" sheetId="5" r:id="rId1"/>
  </sheets>
  <definedNames>
    <definedName name="_xlnm.Print_Area" localSheetId="0">'2016'!$A$3:$S$36</definedName>
  </definedNames>
  <calcPr calcId="145621"/>
</workbook>
</file>

<file path=xl/calcChain.xml><?xml version="1.0" encoding="utf-8"?>
<calcChain xmlns="http://schemas.openxmlformats.org/spreadsheetml/2006/main">
  <c r="B26" i="5" l="1"/>
  <c r="C26" i="5"/>
  <c r="E26" i="5"/>
  <c r="F26" i="5"/>
  <c r="H26" i="5"/>
  <c r="O26" i="5" s="1"/>
  <c r="J26" i="5"/>
  <c r="M26" i="5"/>
  <c r="R26" i="5"/>
  <c r="S26" i="5"/>
  <c r="G12" i="5" l="1"/>
  <c r="Q28" i="5" l="1"/>
  <c r="I28" i="5"/>
  <c r="D28" i="5"/>
  <c r="B27" i="5"/>
  <c r="N24" i="5" l="1"/>
  <c r="B25" i="5" l="1"/>
  <c r="C25" i="5"/>
  <c r="E25" i="5"/>
  <c r="F25" i="5"/>
  <c r="H25" i="5"/>
  <c r="J25" i="5"/>
  <c r="M25" i="5"/>
  <c r="R25" i="5"/>
  <c r="O25" i="5" l="1"/>
  <c r="S25" i="5"/>
  <c r="R24" i="5"/>
  <c r="M24" i="5"/>
  <c r="J24" i="5"/>
  <c r="H24" i="5"/>
  <c r="F24" i="5"/>
  <c r="C24" i="5"/>
  <c r="B24" i="5"/>
  <c r="E24" i="5" l="1"/>
  <c r="S24" i="5"/>
  <c r="O24" i="5"/>
  <c r="P22" i="5"/>
  <c r="P23" i="5" l="1"/>
  <c r="B23" i="5" l="1"/>
  <c r="C23" i="5"/>
  <c r="E23" i="5"/>
  <c r="F23" i="5"/>
  <c r="H23" i="5"/>
  <c r="J23" i="5"/>
  <c r="M23" i="5"/>
  <c r="R23" i="5"/>
  <c r="S23" i="5"/>
  <c r="O23" i="5" l="1"/>
  <c r="B22" i="5"/>
  <c r="C22" i="5"/>
  <c r="E22" i="5" s="1"/>
  <c r="F22" i="5"/>
  <c r="H22" i="5"/>
  <c r="J22" i="5"/>
  <c r="M22" i="5"/>
  <c r="R22" i="5"/>
  <c r="O22" i="5" l="1"/>
  <c r="S22" i="5"/>
  <c r="B21" i="5"/>
  <c r="C21" i="5"/>
  <c r="F21" i="5"/>
  <c r="H21" i="5"/>
  <c r="J21" i="5"/>
  <c r="M21" i="5"/>
  <c r="R21" i="5"/>
  <c r="O21" i="5" l="1"/>
  <c r="S21" i="5"/>
  <c r="E21" i="5"/>
  <c r="B20" i="5"/>
  <c r="C20" i="5"/>
  <c r="F20" i="5"/>
  <c r="H20" i="5"/>
  <c r="J20" i="5"/>
  <c r="M20" i="5"/>
  <c r="R20" i="5"/>
  <c r="O20" i="5" l="1"/>
  <c r="E20" i="5"/>
  <c r="S20" i="5"/>
  <c r="J18" i="5"/>
  <c r="J19" i="5"/>
  <c r="J17" i="5"/>
  <c r="B19" i="5" l="1"/>
  <c r="C19" i="5"/>
  <c r="F19" i="5"/>
  <c r="H19" i="5"/>
  <c r="M19" i="5"/>
  <c r="R19" i="5"/>
  <c r="E19" i="5" l="1"/>
  <c r="O19" i="5"/>
  <c r="S19" i="5"/>
  <c r="P18" i="5"/>
  <c r="P28" i="5" s="1"/>
  <c r="R18" i="5" l="1"/>
  <c r="M18" i="5"/>
  <c r="H18" i="5"/>
  <c r="F18" i="5"/>
  <c r="C18" i="5"/>
  <c r="B18" i="5"/>
  <c r="S18" i="5" l="1"/>
  <c r="O18" i="5"/>
  <c r="R16" i="5"/>
  <c r="R17" i="5"/>
  <c r="R15" i="5"/>
  <c r="M16" i="5"/>
  <c r="M17" i="5"/>
  <c r="M15" i="5"/>
  <c r="M12" i="5"/>
  <c r="J12" i="5"/>
  <c r="I12" i="5"/>
  <c r="H16" i="5"/>
  <c r="H17" i="5"/>
  <c r="H15" i="5"/>
  <c r="H12" i="5"/>
  <c r="F17" i="5"/>
  <c r="C17" i="5"/>
  <c r="B17" i="5"/>
  <c r="R28" i="5" l="1"/>
  <c r="H28" i="5"/>
  <c r="M28" i="5"/>
  <c r="O17" i="5"/>
  <c r="S17" i="5"/>
  <c r="N15" i="5"/>
  <c r="N28" i="5" s="1"/>
  <c r="G28" i="5" l="1"/>
  <c r="F16" i="5"/>
  <c r="F15" i="5"/>
  <c r="F28" i="5" s="1"/>
  <c r="R12" i="5" l="1"/>
  <c r="J16" i="5"/>
  <c r="J15" i="5"/>
  <c r="J28" i="5" s="1"/>
  <c r="F12" i="5"/>
  <c r="E17" i="5"/>
  <c r="E18" i="5"/>
  <c r="E27" i="5"/>
  <c r="C16" i="5"/>
  <c r="B16" i="5"/>
  <c r="C15" i="5"/>
  <c r="C28" i="5" s="1"/>
  <c r="B15" i="5"/>
  <c r="B28" i="5" s="1"/>
  <c r="E16" i="5" l="1"/>
  <c r="E15" i="5"/>
  <c r="O16" i="5"/>
  <c r="S16" i="5"/>
  <c r="O15" i="5"/>
  <c r="O51" i="5"/>
  <c r="Q50" i="5"/>
  <c r="Q49" i="5"/>
  <c r="Q48" i="5"/>
  <c r="Q47" i="5"/>
  <c r="Q46" i="5"/>
  <c r="Q45" i="5"/>
  <c r="Q44" i="5"/>
  <c r="Q43" i="5"/>
  <c r="Q12" i="5"/>
  <c r="P12" i="5"/>
  <c r="N12" i="5"/>
  <c r="L12" i="5"/>
  <c r="K12" i="5"/>
  <c r="O10" i="5"/>
  <c r="O12" i="5" s="1"/>
  <c r="E10" i="5"/>
  <c r="O9" i="5"/>
  <c r="S9" i="5" s="1"/>
  <c r="O28" i="5" l="1"/>
  <c r="E28" i="5"/>
  <c r="Q51" i="5"/>
  <c r="S10" i="5"/>
  <c r="S12" i="5" s="1"/>
  <c r="S15" i="5"/>
  <c r="S28" i="5" s="1"/>
  <c r="R29" i="5" l="1"/>
</calcChain>
</file>

<file path=xl/comments1.xml><?xml version="1.0" encoding="utf-8"?>
<comments xmlns="http://schemas.openxmlformats.org/spreadsheetml/2006/main">
  <authors>
    <author>User</author>
  </authors>
  <commentList>
    <comment ref="N15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1000р-краска
2000р-замена 2-х батареек на тепловыч.</t>
        </r>
      </text>
    </comment>
    <comment ref="N19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покос-1524р</t>
        </r>
      </text>
    </comment>
    <comment ref="N22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1524р-покос</t>
        </r>
      </text>
    </comment>
    <comment ref="N2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тех.обслуживание ОДГО-957,24р
1500р-изотовление и установка поручней в 1п.</t>
        </r>
      </text>
    </comment>
    <comment ref="N2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6100-20 ящиков почтовых +установка</t>
        </r>
      </text>
    </comment>
  </commentList>
</comments>
</file>

<file path=xl/sharedStrings.xml><?xml version="1.0" encoding="utf-8"?>
<sst xmlns="http://schemas.openxmlformats.org/spreadsheetml/2006/main" count="90" uniqueCount="80">
  <si>
    <t>Содержание</t>
  </si>
  <si>
    <t>март</t>
  </si>
  <si>
    <t>ремонт</t>
  </si>
  <si>
    <t>итого</t>
  </si>
  <si>
    <t>май</t>
  </si>
  <si>
    <t>Наименование работ</t>
  </si>
  <si>
    <t>ИТОГО</t>
  </si>
  <si>
    <t>январь</t>
  </si>
  <si>
    <t>июль</t>
  </si>
  <si>
    <t>август</t>
  </si>
  <si>
    <t>октябрь</t>
  </si>
  <si>
    <t>декабрь</t>
  </si>
  <si>
    <t>июнь</t>
  </si>
  <si>
    <t>ИТОГО:</t>
  </si>
  <si>
    <t>краска</t>
  </si>
  <si>
    <t>1500р</t>
  </si>
  <si>
    <t>Информация о доходах и расходах по дому __Бойко 108__на 2016год.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</si>
  <si>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</si>
  <si>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</si>
  <si>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</si>
  <si>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</si>
  <si>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</si>
  <si>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</si>
  <si>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</si>
  <si>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</si>
  <si>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</si>
  <si>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</si>
  <si>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</si>
  <si>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</si>
  <si>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</si>
  <si>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</si>
  <si>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</si>
  <si>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r>
      <rPr>
        <b/>
        <sz val="8"/>
        <rFont val="Arial Cyr"/>
        <charset val="204"/>
      </rPr>
      <t>СОДЕРЖАНИ</t>
    </r>
    <r>
      <rPr>
        <sz val="8"/>
        <rFont val="Arial Cyr"/>
        <charset val="204"/>
      </rPr>
      <t>Е,    всего</t>
    </r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</si>
  <si>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</si>
  <si>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</si>
  <si>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</si>
  <si>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</si>
  <si>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</si>
  <si>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</si>
  <si>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</si>
  <si>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</si>
  <si>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</si>
  <si>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</si>
  <si>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</si>
  <si>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</si>
  <si>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</si>
  <si>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</si>
  <si>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</si>
  <si>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</si>
  <si>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</si>
  <si>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</si>
  <si>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Прочие работы по содержанию общедомового имущества</t>
  </si>
  <si>
    <t>Дата выполнения</t>
  </si>
  <si>
    <t>Периодич-ность /количествен-ный показатель выполненной работы (оказанной услуги)</t>
  </si>
  <si>
    <t>Сметная стои-мость работы за единицу</t>
  </si>
  <si>
    <t xml:space="preserve">Сметная стои-мость на весь объем работ (услуг) </t>
  </si>
  <si>
    <t xml:space="preserve">Цена выпол-неной работы </t>
  </si>
  <si>
    <t>Работы по содержанию земельного участка с элементами озеленения и благоустройства:</t>
  </si>
  <si>
    <t>1)спил деревьев</t>
  </si>
  <si>
    <t>по мере необходимости</t>
  </si>
  <si>
    <t>2)вывоз крупногабаритного мусора</t>
  </si>
  <si>
    <t>3) покос</t>
  </si>
  <si>
    <t>не менее 2 раза в год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</si>
  <si>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</si>
  <si>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и ремонту систем дымоудаления и вентиляции</t>
  </si>
  <si>
    <t>2 раза в год</t>
  </si>
  <si>
    <t>Работы по обеспечению требований пожарной безопасности</t>
  </si>
  <si>
    <t>Работы по содержанию и ремонту систем внутридомового газового оборудования</t>
  </si>
  <si>
    <t>Непредвиденные расходы</t>
  </si>
  <si>
    <t>Итого</t>
  </si>
  <si>
    <t>1000р</t>
  </si>
  <si>
    <t>2000р</t>
  </si>
  <si>
    <t>замена 2-х батареек на тепловыч.</t>
  </si>
  <si>
    <t>1524р</t>
  </si>
  <si>
    <t>покос</t>
  </si>
  <si>
    <t>957,24р</t>
  </si>
  <si>
    <t>тех.обслуживание ОДГО</t>
  </si>
  <si>
    <t>6100р</t>
  </si>
  <si>
    <t>-изотовление и установка поручней в 1п.</t>
  </si>
  <si>
    <t>20 почтовых ящиков+установка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</si>
</sst>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10"/>
      <name val="Arial Cyr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7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2" fontId="0" fillId="0" borderId="0" xfId="0" applyNumberFormat="1"/>
    <xf numFmtId="0" fontId="0" fillId="0" borderId="4" xfId="0" applyBorder="1"/>
    <xf numFmtId="2" fontId="0" fillId="0" borderId="4" xfId="0" applyNumberFormat="1" applyBorder="1"/>
    <xf numFmtId="17" fontId="3" fillId="2" borderId="4" xfId="0" applyNumberFormat="1" applyFont="1" applyFill="1" applyBorder="1" applyAlignment="1">
      <alignment horizontal="left"/>
    </xf>
    <xf numFmtId="164" fontId="2" fillId="3" borderId="4" xfId="0" applyNumberFormat="1" applyFont="1" applyFill="1" applyBorder="1"/>
    <xf numFmtId="164" fontId="2" fillId="3" borderId="4" xfId="0" applyNumberFormat="1" applyFont="1" applyFill="1" applyBorder="1" applyAlignment="1"/>
    <xf numFmtId="0" fontId="0" fillId="7" borderId="4" xfId="0" applyFill="1" applyBorder="1"/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3" fillId="0" borderId="5" xfId="0" applyNumberFormat="1" applyFont="1" applyBorder="1" applyAlignment="1">
      <alignment horizontal="center" vertical="top"/>
    </xf>
    <xf numFmtId="0" fontId="1" fillId="8" borderId="12" xfId="0" applyFont="1" applyFill="1" applyBorder="1" applyAlignment="1"/>
    <xf numFmtId="0" fontId="1" fillId="8" borderId="12" xfId="0" applyFont="1" applyFill="1" applyBorder="1" applyAlignment="1">
      <alignment wrapText="1"/>
    </xf>
    <xf numFmtId="2" fontId="6" fillId="8" borderId="12" xfId="0" applyNumberFormat="1" applyFont="1" applyFill="1" applyBorder="1" applyAlignment="1"/>
    <xf numFmtId="2" fontId="2" fillId="0" borderId="1" xfId="0" applyNumberFormat="1" applyFont="1" applyBorder="1" applyAlignment="1">
      <alignment horizontal="left" vertical="top" textRotation="90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left"/>
    </xf>
    <xf numFmtId="2" fontId="2" fillId="0" borderId="5" xfId="0" applyNumberFormat="1" applyFont="1" applyBorder="1" applyAlignment="1">
      <alignment horizontal="left" wrapText="1"/>
    </xf>
    <xf numFmtId="0" fontId="13" fillId="0" borderId="5" xfId="0" applyFont="1" applyBorder="1" applyAlignment="1">
      <alignment horizontal="left"/>
    </xf>
    <xf numFmtId="2" fontId="6" fillId="0" borderId="5" xfId="0" applyNumberFormat="1" applyFont="1" applyBorder="1" applyAlignment="1">
      <alignment horizontal="left" wrapText="1"/>
    </xf>
    <xf numFmtId="2" fontId="12" fillId="0" borderId="5" xfId="0" applyNumberFormat="1" applyFont="1" applyBorder="1" applyAlignment="1">
      <alignment horizontal="center" wrapText="1"/>
    </xf>
    <xf numFmtId="4" fontId="3" fillId="8" borderId="4" xfId="0" applyNumberFormat="1" applyFont="1" applyFill="1" applyBorder="1"/>
    <xf numFmtId="2" fontId="6" fillId="0" borderId="5" xfId="0" applyNumberFormat="1" applyFont="1" applyBorder="1" applyAlignment="1">
      <alignment horizontal="center" vertical="top" wrapText="1"/>
    </xf>
    <xf numFmtId="4" fontId="3" fillId="8" borderId="4" xfId="0" applyNumberFormat="1" applyFont="1" applyFill="1" applyBorder="1" applyAlignment="1">
      <alignment horizontal="center"/>
    </xf>
    <xf numFmtId="2" fontId="2" fillId="9" borderId="5" xfId="0" applyNumberFormat="1" applyFont="1" applyFill="1" applyBorder="1" applyAlignment="1">
      <alignment horizontal="center" vertical="top" wrapText="1"/>
    </xf>
    <xf numFmtId="4" fontId="2" fillId="8" borderId="4" xfId="0" applyNumberFormat="1" applyFont="1" applyFill="1" applyBorder="1"/>
    <xf numFmtId="2" fontId="1" fillId="11" borderId="2" xfId="0" applyNumberFormat="1" applyFont="1" applyFill="1" applyBorder="1" applyAlignment="1">
      <alignment horizontal="center" vertical="top" wrapText="1"/>
    </xf>
    <xf numFmtId="2" fontId="2" fillId="11" borderId="8" xfId="0" applyNumberFormat="1" applyFont="1" applyFill="1" applyBorder="1" applyAlignment="1">
      <alignment horizontal="center" vertical="top" wrapText="1"/>
    </xf>
    <xf numFmtId="2" fontId="2" fillId="11" borderId="14" xfId="0" applyNumberFormat="1" applyFont="1" applyFill="1" applyBorder="1" applyAlignment="1">
      <alignment horizontal="center" vertical="top" wrapText="1"/>
    </xf>
    <xf numFmtId="2" fontId="2" fillId="11" borderId="6" xfId="0" applyNumberFormat="1" applyFont="1" applyFill="1" applyBorder="1" applyAlignment="1">
      <alignment horizontal="center" vertical="top" wrapText="1"/>
    </xf>
    <xf numFmtId="164" fontId="2" fillId="11" borderId="4" xfId="0" applyNumberFormat="1" applyFont="1" applyFill="1" applyBorder="1"/>
    <xf numFmtId="164" fontId="2" fillId="11" borderId="5" xfId="0" applyNumberFormat="1" applyFont="1" applyFill="1" applyBorder="1"/>
    <xf numFmtId="164" fontId="2" fillId="9" borderId="4" xfId="0" applyNumberFormat="1" applyFont="1" applyFill="1" applyBorder="1"/>
    <xf numFmtId="4" fontId="2" fillId="11" borderId="4" xfId="0" applyNumberFormat="1" applyFont="1" applyFill="1" applyBorder="1"/>
    <xf numFmtId="17" fontId="3" fillId="5" borderId="4" xfId="0" applyNumberFormat="1" applyFont="1" applyFill="1" applyBorder="1" applyAlignment="1">
      <alignment horizontal="left" wrapText="1"/>
    </xf>
    <xf numFmtId="0" fontId="3" fillId="4" borderId="4" xfId="0" applyFont="1" applyFill="1" applyBorder="1"/>
    <xf numFmtId="164" fontId="2" fillId="4" borderId="4" xfId="0" applyNumberFormat="1" applyFont="1" applyFill="1" applyBorder="1"/>
    <xf numFmtId="4" fontId="6" fillId="4" borderId="4" xfId="0" applyNumberFormat="1" applyFont="1" applyFill="1" applyBorder="1"/>
    <xf numFmtId="0" fontId="0" fillId="8" borderId="4" xfId="0" applyFill="1" applyBorder="1"/>
    <xf numFmtId="0" fontId="0" fillId="8" borderId="2" xfId="0" applyFill="1" applyBorder="1"/>
    <xf numFmtId="0" fontId="0" fillId="0" borderId="2" xfId="0" applyBorder="1"/>
    <xf numFmtId="0" fontId="0" fillId="0" borderId="0" xfId="0" applyBorder="1" applyAlignment="1">
      <alignment horizontal="center"/>
    </xf>
    <xf numFmtId="2" fontId="0" fillId="0" borderId="6" xfId="0" applyNumberFormat="1" applyBorder="1"/>
    <xf numFmtId="2" fontId="0" fillId="0" borderId="6" xfId="0" applyNumberFormat="1" applyBorder="1" applyAlignment="1"/>
    <xf numFmtId="0" fontId="6" fillId="8" borderId="4" xfId="0" applyNumberFormat="1" applyFont="1" applyFill="1" applyBorder="1" applyAlignment="1"/>
    <xf numFmtId="0" fontId="6" fillId="8" borderId="4" xfId="0" applyNumberFormat="1" applyFont="1" applyFill="1" applyBorder="1" applyAlignment="1">
      <alignment wrapText="1"/>
    </xf>
    <xf numFmtId="0" fontId="7" fillId="0" borderId="0" xfId="0" applyFont="1"/>
    <xf numFmtId="164" fontId="2" fillId="6" borderId="4" xfId="0" applyNumberFormat="1" applyFont="1" applyFill="1" applyBorder="1"/>
    <xf numFmtId="164" fontId="0" fillId="0" borderId="0" xfId="0" applyNumberFormat="1"/>
    <xf numFmtId="4" fontId="7" fillId="0" borderId="0" xfId="0" applyNumberFormat="1" applyFont="1" applyBorder="1" applyAlignment="1">
      <alignment horizontal="center"/>
    </xf>
    <xf numFmtId="2" fontId="2" fillId="8" borderId="5" xfId="0" applyNumberFormat="1" applyFont="1" applyFill="1" applyBorder="1" applyAlignment="1">
      <alignment horizontal="right" vertical="top" wrapText="1"/>
    </xf>
    <xf numFmtId="2" fontId="6" fillId="8" borderId="5" xfId="0" applyNumberFormat="1" applyFont="1" applyFill="1" applyBorder="1" applyAlignment="1">
      <alignment horizontal="right" vertical="top" wrapText="1"/>
    </xf>
    <xf numFmtId="2" fontId="6" fillId="8" borderId="4" xfId="0" applyNumberFormat="1" applyFont="1" applyFill="1" applyBorder="1" applyAlignment="1">
      <alignment vertical="top" wrapText="1"/>
    </xf>
    <xf numFmtId="2" fontId="6" fillId="8" borderId="5" xfId="0" applyNumberFormat="1" applyFont="1" applyFill="1" applyBorder="1" applyAlignment="1">
      <alignment horizontal="center" vertical="top" wrapText="1"/>
    </xf>
    <xf numFmtId="4" fontId="15" fillId="0" borderId="0" xfId="0" applyNumberFormat="1" applyFont="1"/>
    <xf numFmtId="2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14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0" fillId="0" borderId="4" xfId="0" applyBorder="1" applyAlignment="1">
      <alignment horizontal="left" wrapText="1"/>
    </xf>
    <xf numFmtId="0" fontId="14" fillId="0" borderId="2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7" borderId="2" xfId="0" applyFill="1" applyBorder="1" applyAlignment="1">
      <alignment horizontal="left" wrapText="1"/>
    </xf>
    <xf numFmtId="0" fontId="0" fillId="7" borderId="8" xfId="0" applyFill="1" applyBorder="1" applyAlignment="1">
      <alignment horizontal="left" wrapText="1"/>
    </xf>
    <xf numFmtId="0" fontId="0" fillId="7" borderId="6" xfId="0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7" borderId="2" xfId="0" applyFill="1" applyBorder="1" applyAlignment="1">
      <alignment horizontal="center" wrapText="1"/>
    </xf>
    <xf numFmtId="0" fontId="0" fillId="7" borderId="8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4" fillId="10" borderId="8" xfId="0" applyFont="1" applyFill="1" applyBorder="1" applyAlignment="1">
      <alignment horizontal="center" wrapText="1"/>
    </xf>
    <xf numFmtId="0" fontId="4" fillId="10" borderId="6" xfId="0" applyFont="1" applyFill="1" applyBorder="1" applyAlignment="1">
      <alignment horizontal="center" wrapText="1"/>
    </xf>
    <xf numFmtId="2" fontId="1" fillId="11" borderId="2" xfId="0" applyNumberFormat="1" applyFont="1" applyFill="1" applyBorder="1" applyAlignment="1">
      <alignment horizontal="center" vertical="top" wrapText="1"/>
    </xf>
    <xf numFmtId="2" fontId="2" fillId="11" borderId="8" xfId="0" applyNumberFormat="1" applyFont="1" applyFill="1" applyBorder="1" applyAlignment="1">
      <alignment horizontal="center" vertical="top" wrapText="1"/>
    </xf>
    <xf numFmtId="2" fontId="2" fillId="11" borderId="6" xfId="0" applyNumberFormat="1" applyFont="1" applyFill="1" applyBorder="1" applyAlignment="1">
      <alignment horizontal="center" vertical="top" wrapText="1"/>
    </xf>
    <xf numFmtId="0" fontId="1" fillId="10" borderId="8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4" fontId="7" fillId="0" borderId="1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left"/>
    </xf>
    <xf numFmtId="2" fontId="6" fillId="0" borderId="6" xfId="0" applyNumberFormat="1" applyFont="1" applyBorder="1" applyAlignment="1">
      <alignment horizontal="left"/>
    </xf>
    <xf numFmtId="0" fontId="1" fillId="0" borderId="4" xfId="0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2" fillId="0" borderId="6" xfId="0" applyNumberFormat="1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left" vertical="top" textRotation="90" wrapText="1"/>
    </xf>
    <xf numFmtId="2" fontId="2" fillId="0" borderId="5" xfId="0" applyNumberFormat="1" applyFont="1" applyBorder="1" applyAlignment="1">
      <alignment horizontal="left" vertical="top" textRotation="90" wrapText="1"/>
    </xf>
    <xf numFmtId="0" fontId="1" fillId="9" borderId="2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0" fillId="0" borderId="5" xfId="0" applyBorder="1"/>
    <xf numFmtId="0" fontId="1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left" wrapText="1"/>
    </xf>
    <xf numFmtId="2" fontId="6" fillId="0" borderId="9" xfId="0" applyNumberFormat="1" applyFont="1" applyBorder="1" applyAlignment="1">
      <alignment horizontal="left" wrapText="1"/>
    </xf>
    <xf numFmtId="2" fontId="6" fillId="0" borderId="7" xfId="0" applyNumberFormat="1" applyFont="1" applyBorder="1" applyAlignment="1">
      <alignment horizontal="left" wrapText="1"/>
    </xf>
    <xf numFmtId="2" fontId="6" fillId="0" borderId="13" xfId="0" applyNumberFormat="1" applyFont="1" applyBorder="1" applyAlignment="1">
      <alignment horizontal="left" wrapText="1"/>
    </xf>
    <xf numFmtId="2" fontId="6" fillId="0" borderId="1" xfId="0" applyNumberFormat="1" applyFont="1" applyBorder="1" applyAlignment="1">
      <alignment horizontal="left" textRotation="90" wrapText="1"/>
    </xf>
    <xf numFmtId="2" fontId="6" fillId="0" borderId="3" xfId="0" applyNumberFormat="1" applyFont="1" applyBorder="1" applyAlignment="1">
      <alignment horizontal="left" textRotation="90" wrapText="1"/>
    </xf>
    <xf numFmtId="2" fontId="6" fillId="0" borderId="5" xfId="0" applyNumberFormat="1" applyFont="1" applyBorder="1" applyAlignment="1">
      <alignment horizontal="left" textRotation="90" wrapText="1"/>
    </xf>
    <xf numFmtId="2" fontId="12" fillId="0" borderId="1" xfId="0" applyNumberFormat="1" applyFont="1" applyBorder="1" applyAlignment="1">
      <alignment horizontal="center" wrapText="1"/>
    </xf>
    <xf numFmtId="2" fontId="12" fillId="0" borderId="3" xfId="0" applyNumberFormat="1" applyFont="1" applyBorder="1" applyAlignment="1">
      <alignment horizontal="center" wrapText="1"/>
    </xf>
    <xf numFmtId="2" fontId="12" fillId="0" borderId="5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left" textRotation="90" wrapText="1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T51"/>
  <sheetViews>
    <sheetView tabSelected="1" zoomScaleNormal="100" workbookViewId="0">
      <selection activeCell="N35" sqref="N35"/>
    </sheetView>
  </sheetViews>
  <sheetFormatPr defaultRowHeight="12.75" x14ac:dyDescent="0.2"/>
  <cols>
    <col min="1" max="1" width="4.140625" customWidth="1"/>
    <col min="2" max="2" width="9.7109375" customWidth="1"/>
    <col min="3" max="3" width="10" customWidth="1"/>
    <col min="4" max="4" width="5.7109375" customWidth="1"/>
    <col min="5" max="5" width="9.7109375" customWidth="1"/>
    <col min="6" max="6" width="8.85546875" customWidth="1"/>
    <col min="7" max="7" width="9" customWidth="1"/>
    <col min="8" max="8" width="9.140625" customWidth="1"/>
    <col min="9" max="9" width="8" customWidth="1"/>
    <col min="10" max="10" width="9" customWidth="1"/>
    <col min="11" max="11" width="5.140625" hidden="1" customWidth="1"/>
    <col min="12" max="12" width="5.42578125" hidden="1" customWidth="1"/>
    <col min="13" max="13" width="9" customWidth="1"/>
    <col min="14" max="14" width="9.28515625" customWidth="1"/>
    <col min="15" max="15" width="9.85546875" customWidth="1"/>
    <col min="16" max="16" width="9" customWidth="1"/>
    <col min="17" max="17" width="9.7109375" customWidth="1"/>
    <col min="18" max="18" width="9" customWidth="1"/>
    <col min="19" max="19" width="8.5703125" customWidth="1"/>
    <col min="20" max="20" width="10.7109375" bestFit="1" customWidth="1"/>
  </cols>
  <sheetData>
    <row r="1" spans="1:20" ht="0.75" customHeight="1" x14ac:dyDescent="0.2"/>
    <row r="2" spans="1:20" hidden="1" x14ac:dyDescent="0.2"/>
    <row r="3" spans="1:20" ht="15.75" x14ac:dyDescent="0.25">
      <c r="A3" s="125" t="s">
        <v>16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</row>
    <row r="4" spans="1:20" ht="0.75" customHeight="1" x14ac:dyDescent="0.2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20" x14ac:dyDescent="0.2">
      <c r="A5" s="126"/>
      <c r="B5" s="62"/>
      <c r="C5" s="62"/>
      <c r="D5" s="62"/>
      <c r="E5" s="58"/>
      <c r="F5" s="60" t="s">
        <v>17</v>
      </c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"/>
    </row>
    <row r="6" spans="1:20" x14ac:dyDescent="0.2">
      <c r="A6" s="11"/>
      <c r="B6" s="59" t="s">
        <v>18</v>
      </c>
      <c r="C6" s="59"/>
      <c r="D6" s="59"/>
      <c r="E6" s="59"/>
      <c r="F6" s="127" t="s">
        <v>0</v>
      </c>
      <c r="G6" s="128"/>
      <c r="H6" s="128"/>
      <c r="I6" s="128"/>
      <c r="J6" s="128"/>
      <c r="K6" s="128"/>
      <c r="L6" s="128"/>
      <c r="M6" s="128"/>
      <c r="N6" s="128"/>
      <c r="O6" s="129"/>
      <c r="P6" s="130" t="s">
        <v>19</v>
      </c>
      <c r="Q6" s="131"/>
      <c r="R6" s="134" t="s">
        <v>20</v>
      </c>
      <c r="S6" s="137" t="s">
        <v>6</v>
      </c>
    </row>
    <row r="7" spans="1:20" x14ac:dyDescent="0.2">
      <c r="A7" s="12"/>
      <c r="B7" s="120" t="s">
        <v>21</v>
      </c>
      <c r="C7" s="120" t="s">
        <v>2</v>
      </c>
      <c r="D7" s="120" t="s">
        <v>22</v>
      </c>
      <c r="E7" s="122" t="s">
        <v>3</v>
      </c>
      <c r="F7" s="115" t="s">
        <v>23</v>
      </c>
      <c r="G7" s="115" t="s">
        <v>24</v>
      </c>
      <c r="H7" s="115" t="s">
        <v>25</v>
      </c>
      <c r="I7" s="115" t="s">
        <v>26</v>
      </c>
      <c r="J7" s="115" t="s">
        <v>27</v>
      </c>
      <c r="K7" s="115" t="s">
        <v>28</v>
      </c>
      <c r="L7" s="115" t="s">
        <v>29</v>
      </c>
      <c r="M7" s="115" t="s">
        <v>30</v>
      </c>
      <c r="N7" s="115" t="s">
        <v>31</v>
      </c>
      <c r="O7" s="140" t="s">
        <v>32</v>
      </c>
      <c r="P7" s="132"/>
      <c r="Q7" s="133"/>
      <c r="R7" s="135"/>
      <c r="S7" s="138"/>
    </row>
    <row r="8" spans="1:20" ht="137.25" customHeight="1" x14ac:dyDescent="0.2">
      <c r="A8" s="13"/>
      <c r="B8" s="121"/>
      <c r="C8" s="121"/>
      <c r="D8" s="121"/>
      <c r="E8" s="123"/>
      <c r="F8" s="124"/>
      <c r="G8" s="116"/>
      <c r="H8" s="116"/>
      <c r="I8" s="116"/>
      <c r="J8" s="116"/>
      <c r="K8" s="116"/>
      <c r="L8" s="116"/>
      <c r="M8" s="116"/>
      <c r="N8" s="116"/>
      <c r="O8" s="141"/>
      <c r="P8" s="14" t="s">
        <v>33</v>
      </c>
      <c r="Q8" s="14" t="s">
        <v>34</v>
      </c>
      <c r="R8" s="136"/>
      <c r="S8" s="139"/>
    </row>
    <row r="9" spans="1:20" x14ac:dyDescent="0.2">
      <c r="A9" s="45">
        <v>2015</v>
      </c>
      <c r="B9" s="15">
        <v>8</v>
      </c>
      <c r="C9" s="15">
        <v>5</v>
      </c>
      <c r="D9" s="15">
        <v>1</v>
      </c>
      <c r="E9" s="16">
        <v>14</v>
      </c>
      <c r="F9" s="17">
        <v>1.17</v>
      </c>
      <c r="G9" s="18">
        <v>1.45</v>
      </c>
      <c r="H9" s="18">
        <v>1.4</v>
      </c>
      <c r="I9" s="18">
        <v>0.3</v>
      </c>
      <c r="J9" s="18">
        <v>2.88</v>
      </c>
      <c r="K9" s="18">
        <v>0</v>
      </c>
      <c r="L9" s="18">
        <v>0</v>
      </c>
      <c r="M9" s="18">
        <v>1.96</v>
      </c>
      <c r="N9" s="18">
        <v>0</v>
      </c>
      <c r="O9" s="19">
        <f>SUM(F9:N9)</f>
        <v>9.16</v>
      </c>
      <c r="P9" s="107">
        <v>1.58</v>
      </c>
      <c r="Q9" s="108"/>
      <c r="R9" s="20">
        <v>0.92</v>
      </c>
      <c r="S9" s="21">
        <f>SUM(O9:R9)</f>
        <v>11.66</v>
      </c>
    </row>
    <row r="10" spans="1:20" x14ac:dyDescent="0.2">
      <c r="A10" s="46">
        <v>2016</v>
      </c>
      <c r="B10" s="10">
        <v>11</v>
      </c>
      <c r="C10" s="10">
        <v>2.5</v>
      </c>
      <c r="D10" s="10">
        <v>1.5</v>
      </c>
      <c r="E10" s="22">
        <f>SUM(B10:D10)</f>
        <v>15</v>
      </c>
      <c r="F10" s="51">
        <v>1.2</v>
      </c>
      <c r="G10" s="51">
        <v>1.5</v>
      </c>
      <c r="H10" s="51">
        <v>1.6</v>
      </c>
      <c r="I10" s="51">
        <v>0.4</v>
      </c>
      <c r="J10" s="51">
        <v>2.1</v>
      </c>
      <c r="K10" s="51">
        <v>0</v>
      </c>
      <c r="L10" s="51">
        <v>0</v>
      </c>
      <c r="M10" s="51">
        <v>2.2000000000000002</v>
      </c>
      <c r="N10" s="51">
        <v>2</v>
      </c>
      <c r="O10" s="52">
        <f>SUM(F10:N10)</f>
        <v>11</v>
      </c>
      <c r="P10" s="53">
        <v>1.25</v>
      </c>
      <c r="Q10" s="53">
        <v>1.25</v>
      </c>
      <c r="R10" s="54">
        <v>1.5</v>
      </c>
      <c r="S10" s="23">
        <f>SUM(O10:R10)</f>
        <v>15</v>
      </c>
    </row>
    <row r="11" spans="1:20" ht="19.5" customHeight="1" x14ac:dyDescent="0.2">
      <c r="A11" s="109" t="s">
        <v>35</v>
      </c>
      <c r="B11" s="109"/>
      <c r="C11" s="109"/>
      <c r="D11" s="109"/>
      <c r="E11" s="24">
        <v>2486.9</v>
      </c>
      <c r="F11" s="110" t="s">
        <v>36</v>
      </c>
      <c r="G11" s="111"/>
      <c r="H11" s="111"/>
      <c r="I11" s="111"/>
      <c r="J11" s="111"/>
      <c r="K11" s="111"/>
      <c r="L11" s="111"/>
      <c r="M11" s="111"/>
      <c r="N11" s="112"/>
      <c r="O11" s="23"/>
      <c r="P11" s="113" t="s">
        <v>37</v>
      </c>
      <c r="Q11" s="114"/>
      <c r="R11" s="23" t="s">
        <v>38</v>
      </c>
      <c r="S11" s="23"/>
    </row>
    <row r="12" spans="1:20" x14ac:dyDescent="0.2">
      <c r="A12" s="117" t="s">
        <v>39</v>
      </c>
      <c r="B12" s="118"/>
      <c r="C12" s="118"/>
      <c r="D12" s="118"/>
      <c r="E12" s="119"/>
      <c r="F12" s="25">
        <f>E11*F10</f>
        <v>2984.28</v>
      </c>
      <c r="G12" s="25">
        <f>E11*G10</f>
        <v>3730.3500000000004</v>
      </c>
      <c r="H12" s="25">
        <f>E11*H10</f>
        <v>3979.0400000000004</v>
      </c>
      <c r="I12" s="25">
        <f>E11*I10</f>
        <v>994.7600000000001</v>
      </c>
      <c r="J12" s="25">
        <f>E11*J10</f>
        <v>5222.4900000000007</v>
      </c>
      <c r="K12" s="25">
        <f t="shared" ref="K12:S12" si="0">SUM(K10*2487)</f>
        <v>0</v>
      </c>
      <c r="L12" s="25">
        <f t="shared" si="0"/>
        <v>0</v>
      </c>
      <c r="M12" s="25">
        <f>E11*M10</f>
        <v>5471.18</v>
      </c>
      <c r="N12" s="25">
        <f t="shared" si="0"/>
        <v>4974</v>
      </c>
      <c r="O12" s="25">
        <f t="shared" si="0"/>
        <v>27357</v>
      </c>
      <c r="P12" s="25">
        <f t="shared" si="0"/>
        <v>3108.75</v>
      </c>
      <c r="Q12" s="25">
        <f t="shared" si="0"/>
        <v>3108.75</v>
      </c>
      <c r="R12" s="25">
        <f>E11*R10</f>
        <v>3730.3500000000004</v>
      </c>
      <c r="S12" s="25">
        <f t="shared" si="0"/>
        <v>37305</v>
      </c>
    </row>
    <row r="13" spans="1:20" x14ac:dyDescent="0.2">
      <c r="A13" s="88" t="s">
        <v>40</v>
      </c>
      <c r="B13" s="88"/>
      <c r="C13" s="88"/>
      <c r="D13" s="88"/>
      <c r="E13" s="89"/>
      <c r="F13" s="90" t="s">
        <v>41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2"/>
    </row>
    <row r="14" spans="1:20" x14ac:dyDescent="0.2">
      <c r="A14" s="93" t="s">
        <v>42</v>
      </c>
      <c r="B14" s="93"/>
      <c r="C14" s="93"/>
      <c r="D14" s="94"/>
      <c r="E14" s="26">
        <v>55767.9</v>
      </c>
      <c r="F14" s="27"/>
      <c r="G14" s="28"/>
      <c r="H14" s="29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30"/>
    </row>
    <row r="15" spans="1:20" x14ac:dyDescent="0.2">
      <c r="A15" s="4" t="s">
        <v>43</v>
      </c>
      <c r="B15" s="5">
        <f>13198.3+1921.5</f>
        <v>15119.8</v>
      </c>
      <c r="C15" s="5">
        <f>6655+1067.5</f>
        <v>7722.5</v>
      </c>
      <c r="D15" s="5">
        <v>0</v>
      </c>
      <c r="E15" s="6">
        <f>B15+C15+D15</f>
        <v>22842.3</v>
      </c>
      <c r="F15" s="31">
        <f t="shared" ref="F15:F26" si="1">2486.9*1.2</f>
        <v>2984.28</v>
      </c>
      <c r="G15" s="31">
        <v>3597.4</v>
      </c>
      <c r="H15" s="32">
        <f>1.6*2486.9</f>
        <v>3979.0400000000004</v>
      </c>
      <c r="I15" s="31">
        <v>1400</v>
      </c>
      <c r="J15" s="31">
        <f>E11*J10</f>
        <v>5222.4900000000007</v>
      </c>
      <c r="K15" s="31">
        <v>0</v>
      </c>
      <c r="L15" s="31">
        <v>0</v>
      </c>
      <c r="M15" s="31">
        <f>2.2*2486.9</f>
        <v>5471.18</v>
      </c>
      <c r="N15" s="31">
        <f>1000+2000</f>
        <v>3000</v>
      </c>
      <c r="O15" s="48">
        <f>SUM(F15:N15)</f>
        <v>25654.390000000003</v>
      </c>
      <c r="P15" s="33">
        <v>888</v>
      </c>
      <c r="Q15" s="33">
        <v>0</v>
      </c>
      <c r="R15" s="31">
        <f>1.5*2486.9</f>
        <v>3730.3500000000004</v>
      </c>
      <c r="S15" s="34">
        <f>O15+P15+R15</f>
        <v>30272.740000000005</v>
      </c>
    </row>
    <row r="16" spans="1:20" x14ac:dyDescent="0.2">
      <c r="A16" s="4" t="s">
        <v>44</v>
      </c>
      <c r="B16" s="5">
        <f>19064.77+4657.9</f>
        <v>23722.67</v>
      </c>
      <c r="C16" s="5">
        <f>10515+2365.5</f>
        <v>12880.5</v>
      </c>
      <c r="D16" s="5">
        <v>0</v>
      </c>
      <c r="E16" s="6">
        <f>B16+C16+D16</f>
        <v>36603.17</v>
      </c>
      <c r="F16" s="31">
        <f t="shared" si="1"/>
        <v>2984.28</v>
      </c>
      <c r="G16" s="31">
        <v>3597.4</v>
      </c>
      <c r="H16" s="32">
        <f t="shared" ref="H16:H26" si="2">1.6*2486.9</f>
        <v>3979.0400000000004</v>
      </c>
      <c r="I16" s="31">
        <v>1400</v>
      </c>
      <c r="J16" s="31">
        <f>E11*J10</f>
        <v>5222.4900000000007</v>
      </c>
      <c r="K16" s="31">
        <v>0</v>
      </c>
      <c r="L16" s="31">
        <v>0</v>
      </c>
      <c r="M16" s="31">
        <f t="shared" ref="M16:M26" si="3">2.2*2486.9</f>
        <v>5471.18</v>
      </c>
      <c r="N16" s="31">
        <v>0</v>
      </c>
      <c r="O16" s="48">
        <f t="shared" ref="O16:O26" si="4">F16+G16+H16+I16+J16+K16+L16+M16+N16</f>
        <v>22654.390000000003</v>
      </c>
      <c r="P16" s="33">
        <v>10595</v>
      </c>
      <c r="Q16" s="33">
        <v>0</v>
      </c>
      <c r="R16" s="31">
        <f t="shared" ref="R16:R26" si="5">1.5*2486.9</f>
        <v>3730.3500000000004</v>
      </c>
      <c r="S16" s="34">
        <f t="shared" ref="S16:S26" si="6">F16+G16+H16+I16+J16+K16+L16+M16+N16+P16+Q16+R16</f>
        <v>36979.74</v>
      </c>
      <c r="T16" s="49"/>
    </row>
    <row r="17" spans="1:19" x14ac:dyDescent="0.2">
      <c r="A17" s="4" t="s">
        <v>1</v>
      </c>
      <c r="B17" s="5">
        <f>13226.5+1548</f>
        <v>14774.5</v>
      </c>
      <c r="C17" s="5">
        <f>7186.5+860</f>
        <v>8046.5</v>
      </c>
      <c r="D17" s="5">
        <v>0</v>
      </c>
      <c r="E17" s="6">
        <f t="shared" ref="E17:E27" si="7">B17+C17+D17</f>
        <v>22821</v>
      </c>
      <c r="F17" s="31">
        <f t="shared" si="1"/>
        <v>2984.28</v>
      </c>
      <c r="G17" s="31">
        <v>3597.4</v>
      </c>
      <c r="H17" s="32">
        <f t="shared" si="2"/>
        <v>3979.0400000000004</v>
      </c>
      <c r="I17" s="31">
        <v>1400</v>
      </c>
      <c r="J17" s="31">
        <f>2486.9*2.1</f>
        <v>5222.4900000000007</v>
      </c>
      <c r="K17" s="31">
        <v>0</v>
      </c>
      <c r="L17" s="31">
        <v>0</v>
      </c>
      <c r="M17" s="31">
        <f t="shared" si="3"/>
        <v>5471.18</v>
      </c>
      <c r="N17" s="31">
        <v>0</v>
      </c>
      <c r="O17" s="48">
        <f t="shared" si="4"/>
        <v>22654.390000000003</v>
      </c>
      <c r="P17" s="33">
        <v>5149</v>
      </c>
      <c r="Q17" s="33">
        <v>25281</v>
      </c>
      <c r="R17" s="31">
        <f t="shared" si="5"/>
        <v>3730.3500000000004</v>
      </c>
      <c r="S17" s="34">
        <f t="shared" si="6"/>
        <v>56814.74</v>
      </c>
    </row>
    <row r="18" spans="1:19" x14ac:dyDescent="0.2">
      <c r="A18" s="4" t="s">
        <v>45</v>
      </c>
      <c r="B18" s="5">
        <f>14754.7+4367.2</f>
        <v>19121.900000000001</v>
      </c>
      <c r="C18" s="5">
        <f>7670.5+1604</f>
        <v>9274.5</v>
      </c>
      <c r="D18" s="5">
        <v>0</v>
      </c>
      <c r="E18" s="6">
        <f t="shared" si="7"/>
        <v>28396.400000000001</v>
      </c>
      <c r="F18" s="31">
        <f t="shared" si="1"/>
        <v>2984.28</v>
      </c>
      <c r="G18" s="31">
        <v>3597.4</v>
      </c>
      <c r="H18" s="32">
        <f t="shared" si="2"/>
        <v>3979.0400000000004</v>
      </c>
      <c r="I18" s="31">
        <v>700</v>
      </c>
      <c r="J18" s="31">
        <f t="shared" ref="J18:J26" si="8">2486.9*2.1</f>
        <v>5222.4900000000007</v>
      </c>
      <c r="K18" s="31"/>
      <c r="L18" s="31"/>
      <c r="M18" s="31">
        <f t="shared" si="3"/>
        <v>5471.18</v>
      </c>
      <c r="N18" s="31">
        <v>0</v>
      </c>
      <c r="O18" s="48">
        <f t="shared" si="4"/>
        <v>21954.390000000003</v>
      </c>
      <c r="P18" s="33">
        <f>17117+410</f>
        <v>17527</v>
      </c>
      <c r="Q18" s="33">
        <v>0</v>
      </c>
      <c r="R18" s="31">
        <f t="shared" si="5"/>
        <v>3730.3500000000004</v>
      </c>
      <c r="S18" s="34">
        <f t="shared" si="6"/>
        <v>43211.74</v>
      </c>
    </row>
    <row r="19" spans="1:19" x14ac:dyDescent="0.2">
      <c r="A19" s="4" t="s">
        <v>4</v>
      </c>
      <c r="B19" s="5">
        <f>14382.6+1231.4</f>
        <v>15614</v>
      </c>
      <c r="C19" s="5">
        <f>8069+673</f>
        <v>8742</v>
      </c>
      <c r="D19" s="5">
        <v>0</v>
      </c>
      <c r="E19" s="6">
        <f t="shared" si="7"/>
        <v>24356</v>
      </c>
      <c r="F19" s="31">
        <f t="shared" si="1"/>
        <v>2984.28</v>
      </c>
      <c r="G19" s="31">
        <v>3597.4</v>
      </c>
      <c r="H19" s="32">
        <f t="shared" si="2"/>
        <v>3979.0400000000004</v>
      </c>
      <c r="I19" s="31">
        <v>0</v>
      </c>
      <c r="J19" s="31">
        <f t="shared" si="8"/>
        <v>5222.4900000000007</v>
      </c>
      <c r="K19" s="31"/>
      <c r="L19" s="31"/>
      <c r="M19" s="31">
        <f t="shared" si="3"/>
        <v>5471.18</v>
      </c>
      <c r="N19" s="31">
        <v>1524</v>
      </c>
      <c r="O19" s="48">
        <f t="shared" si="4"/>
        <v>22778.390000000003</v>
      </c>
      <c r="P19" s="33">
        <v>0</v>
      </c>
      <c r="Q19" s="33">
        <v>1385</v>
      </c>
      <c r="R19" s="31">
        <f t="shared" si="5"/>
        <v>3730.3500000000004</v>
      </c>
      <c r="S19" s="34">
        <f t="shared" si="6"/>
        <v>27893.740000000005</v>
      </c>
    </row>
    <row r="20" spans="1:19" x14ac:dyDescent="0.2">
      <c r="A20" s="4" t="s">
        <v>12</v>
      </c>
      <c r="B20" s="5">
        <f>19233.4+2582.1+12602.4</f>
        <v>34417.9</v>
      </c>
      <c r="C20" s="5">
        <f>11293.18+1434.5+2682.88</f>
        <v>15410.560000000001</v>
      </c>
      <c r="D20" s="5">
        <v>0</v>
      </c>
      <c r="E20" s="6">
        <f t="shared" si="7"/>
        <v>49828.460000000006</v>
      </c>
      <c r="F20" s="31">
        <f t="shared" si="1"/>
        <v>2984.28</v>
      </c>
      <c r="G20" s="31">
        <v>3597.4</v>
      </c>
      <c r="H20" s="32">
        <f t="shared" si="2"/>
        <v>3979.0400000000004</v>
      </c>
      <c r="I20" s="31">
        <v>0</v>
      </c>
      <c r="J20" s="31">
        <f t="shared" si="8"/>
        <v>5222.4900000000007</v>
      </c>
      <c r="K20" s="31"/>
      <c r="L20" s="31"/>
      <c r="M20" s="31">
        <f t="shared" si="3"/>
        <v>5471.18</v>
      </c>
      <c r="N20" s="31">
        <v>0</v>
      </c>
      <c r="O20" s="48">
        <f t="shared" si="4"/>
        <v>21254.390000000003</v>
      </c>
      <c r="P20" s="33">
        <v>0</v>
      </c>
      <c r="Q20" s="33">
        <v>15187</v>
      </c>
      <c r="R20" s="31">
        <f t="shared" si="5"/>
        <v>3730.3500000000004</v>
      </c>
      <c r="S20" s="34">
        <f t="shared" si="6"/>
        <v>40171.74</v>
      </c>
    </row>
    <row r="21" spans="1:19" x14ac:dyDescent="0.2">
      <c r="A21" s="4" t="s">
        <v>8</v>
      </c>
      <c r="B21" s="5">
        <f>23864.94+1521.9</f>
        <v>25386.84</v>
      </c>
      <c r="C21" s="5">
        <f>10902.42+845.5</f>
        <v>11747.92</v>
      </c>
      <c r="D21" s="5">
        <v>0</v>
      </c>
      <c r="E21" s="6">
        <f t="shared" si="7"/>
        <v>37134.76</v>
      </c>
      <c r="F21" s="31">
        <f t="shared" si="1"/>
        <v>2984.28</v>
      </c>
      <c r="G21" s="31">
        <v>3597.4</v>
      </c>
      <c r="H21" s="32">
        <f t="shared" si="2"/>
        <v>3979.0400000000004</v>
      </c>
      <c r="I21" s="31">
        <v>0</v>
      </c>
      <c r="J21" s="31">
        <f t="shared" si="8"/>
        <v>5222.4900000000007</v>
      </c>
      <c r="K21" s="31"/>
      <c r="L21" s="31"/>
      <c r="M21" s="31">
        <f t="shared" si="3"/>
        <v>5471.18</v>
      </c>
      <c r="N21" s="31">
        <v>0</v>
      </c>
      <c r="O21" s="48">
        <f t="shared" si="4"/>
        <v>21254.390000000003</v>
      </c>
      <c r="P21" s="33">
        <v>0</v>
      </c>
      <c r="Q21" s="33">
        <v>0</v>
      </c>
      <c r="R21" s="31">
        <f t="shared" si="5"/>
        <v>3730.3500000000004</v>
      </c>
      <c r="S21" s="34">
        <f t="shared" si="6"/>
        <v>24984.740000000005</v>
      </c>
    </row>
    <row r="22" spans="1:19" x14ac:dyDescent="0.2">
      <c r="A22" s="4" t="s">
        <v>9</v>
      </c>
      <c r="B22" s="5">
        <f>19324.85+1966.25</f>
        <v>21291.1</v>
      </c>
      <c r="C22" s="5">
        <f>5506.25+393.25</f>
        <v>5899.5</v>
      </c>
      <c r="D22" s="5">
        <v>0</v>
      </c>
      <c r="E22" s="6">
        <f t="shared" si="7"/>
        <v>27190.6</v>
      </c>
      <c r="F22" s="31">
        <f t="shared" si="1"/>
        <v>2984.28</v>
      </c>
      <c r="G22" s="31">
        <v>3597.4</v>
      </c>
      <c r="H22" s="32">
        <f t="shared" si="2"/>
        <v>3979.0400000000004</v>
      </c>
      <c r="I22" s="31">
        <v>0</v>
      </c>
      <c r="J22" s="31">
        <f t="shared" si="8"/>
        <v>5222.4900000000007</v>
      </c>
      <c r="K22" s="31"/>
      <c r="L22" s="31"/>
      <c r="M22" s="31">
        <f t="shared" si="3"/>
        <v>5471.18</v>
      </c>
      <c r="N22" s="31">
        <v>1524</v>
      </c>
      <c r="O22" s="48">
        <f t="shared" si="4"/>
        <v>22778.390000000003</v>
      </c>
      <c r="P22" s="33">
        <f>15288+6801+410+5163</f>
        <v>27662</v>
      </c>
      <c r="Q22" s="33">
        <v>0</v>
      </c>
      <c r="R22" s="31">
        <f t="shared" si="5"/>
        <v>3730.3500000000004</v>
      </c>
      <c r="S22" s="34">
        <f t="shared" si="6"/>
        <v>54170.74</v>
      </c>
    </row>
    <row r="23" spans="1:19" x14ac:dyDescent="0.2">
      <c r="A23" s="4" t="s">
        <v>46</v>
      </c>
      <c r="B23" s="5">
        <f>24166.23+2901.25</f>
        <v>27067.48</v>
      </c>
      <c r="C23" s="5">
        <f>6150.83+580.25</f>
        <v>6731.08</v>
      </c>
      <c r="D23" s="5">
        <v>0</v>
      </c>
      <c r="E23" s="6">
        <f t="shared" si="7"/>
        <v>33798.559999999998</v>
      </c>
      <c r="F23" s="31">
        <f t="shared" si="1"/>
        <v>2984.28</v>
      </c>
      <c r="G23" s="31">
        <v>3597.4</v>
      </c>
      <c r="H23" s="32">
        <f t="shared" si="2"/>
        <v>3979.0400000000004</v>
      </c>
      <c r="I23" s="31">
        <v>0</v>
      </c>
      <c r="J23" s="31">
        <f t="shared" si="8"/>
        <v>5222.4900000000007</v>
      </c>
      <c r="K23" s="31"/>
      <c r="L23" s="31"/>
      <c r="M23" s="31">
        <f t="shared" si="3"/>
        <v>5471.18</v>
      </c>
      <c r="N23" s="31">
        <v>0</v>
      </c>
      <c r="O23" s="48">
        <f t="shared" si="4"/>
        <v>21254.390000000003</v>
      </c>
      <c r="P23" s="33">
        <f>33204+948</f>
        <v>34152</v>
      </c>
      <c r="Q23" s="33">
        <v>0</v>
      </c>
      <c r="R23" s="31">
        <f t="shared" si="5"/>
        <v>3730.3500000000004</v>
      </c>
      <c r="S23" s="34">
        <f t="shared" si="6"/>
        <v>59136.74</v>
      </c>
    </row>
    <row r="24" spans="1:19" x14ac:dyDescent="0.2">
      <c r="A24" s="4" t="s">
        <v>47</v>
      </c>
      <c r="B24" s="5">
        <f>21927.61+2505</f>
        <v>24432.61</v>
      </c>
      <c r="C24" s="5">
        <f>3464+501</f>
        <v>3965</v>
      </c>
      <c r="D24" s="5">
        <v>0</v>
      </c>
      <c r="E24" s="6">
        <f t="shared" si="7"/>
        <v>28397.61</v>
      </c>
      <c r="F24" s="31">
        <f t="shared" si="1"/>
        <v>2984.28</v>
      </c>
      <c r="G24" s="31">
        <v>3597.4</v>
      </c>
      <c r="H24" s="32">
        <f t="shared" si="2"/>
        <v>3979.0400000000004</v>
      </c>
      <c r="I24" s="31">
        <v>900</v>
      </c>
      <c r="J24" s="31">
        <f t="shared" si="8"/>
        <v>5222.4900000000007</v>
      </c>
      <c r="K24" s="31"/>
      <c r="L24" s="31"/>
      <c r="M24" s="31">
        <f t="shared" si="3"/>
        <v>5471.18</v>
      </c>
      <c r="N24" s="31">
        <f>957.24+1500</f>
        <v>2457.2399999999998</v>
      </c>
      <c r="O24" s="48">
        <f t="shared" si="4"/>
        <v>24611.630000000005</v>
      </c>
      <c r="P24" s="33">
        <v>0</v>
      </c>
      <c r="Q24" s="33">
        <v>207088</v>
      </c>
      <c r="R24" s="31">
        <f t="shared" si="5"/>
        <v>3730.3500000000004</v>
      </c>
      <c r="S24" s="34">
        <f t="shared" si="6"/>
        <v>235429.98</v>
      </c>
    </row>
    <row r="25" spans="1:19" x14ac:dyDescent="0.2">
      <c r="A25" s="4" t="s">
        <v>48</v>
      </c>
      <c r="B25" s="5">
        <f>18498.75+3795.25</f>
        <v>22294</v>
      </c>
      <c r="C25" s="5">
        <f>3699.75+850.25</f>
        <v>4550</v>
      </c>
      <c r="D25" s="5">
        <v>0</v>
      </c>
      <c r="E25" s="6">
        <f t="shared" si="7"/>
        <v>26844</v>
      </c>
      <c r="F25" s="31">
        <f t="shared" si="1"/>
        <v>2984.28</v>
      </c>
      <c r="G25" s="31">
        <v>3597.4</v>
      </c>
      <c r="H25" s="32">
        <f t="shared" si="2"/>
        <v>3979.0400000000004</v>
      </c>
      <c r="I25" s="31">
        <v>1400</v>
      </c>
      <c r="J25" s="31">
        <f t="shared" si="8"/>
        <v>5222.4900000000007</v>
      </c>
      <c r="K25" s="31"/>
      <c r="L25" s="31"/>
      <c r="M25" s="31">
        <f t="shared" si="3"/>
        <v>5471.18</v>
      </c>
      <c r="N25" s="31">
        <v>0</v>
      </c>
      <c r="O25" s="48">
        <f t="shared" si="4"/>
        <v>22654.390000000003</v>
      </c>
      <c r="P25" s="33">
        <v>0</v>
      </c>
      <c r="Q25" s="33">
        <v>0</v>
      </c>
      <c r="R25" s="31">
        <f t="shared" si="5"/>
        <v>3730.3500000000004</v>
      </c>
      <c r="S25" s="34">
        <f t="shared" si="6"/>
        <v>26384.740000000005</v>
      </c>
    </row>
    <row r="26" spans="1:19" x14ac:dyDescent="0.2">
      <c r="A26" s="4" t="s">
        <v>49</v>
      </c>
      <c r="B26" s="5">
        <f>21203.75+5288.25</f>
        <v>26492</v>
      </c>
      <c r="C26" s="5">
        <f>4240.75+2628.25</f>
        <v>6869</v>
      </c>
      <c r="D26" s="5">
        <v>0</v>
      </c>
      <c r="E26" s="6">
        <f t="shared" si="7"/>
        <v>33361</v>
      </c>
      <c r="F26" s="31">
        <f t="shared" si="1"/>
        <v>2984.28</v>
      </c>
      <c r="G26" s="31">
        <v>3597.4</v>
      </c>
      <c r="H26" s="32">
        <f t="shared" si="2"/>
        <v>3979.0400000000004</v>
      </c>
      <c r="I26" s="31">
        <v>1400</v>
      </c>
      <c r="J26" s="31">
        <f t="shared" si="8"/>
        <v>5222.4900000000007</v>
      </c>
      <c r="K26" s="31"/>
      <c r="L26" s="31"/>
      <c r="M26" s="31">
        <f t="shared" si="3"/>
        <v>5471.18</v>
      </c>
      <c r="N26" s="31">
        <v>6100</v>
      </c>
      <c r="O26" s="48">
        <f t="shared" si="4"/>
        <v>28754.390000000003</v>
      </c>
      <c r="P26" s="33">
        <v>0</v>
      </c>
      <c r="Q26" s="33">
        <v>749</v>
      </c>
      <c r="R26" s="31">
        <f t="shared" si="5"/>
        <v>3730.3500000000004</v>
      </c>
      <c r="S26" s="34">
        <f t="shared" si="6"/>
        <v>33233.740000000005</v>
      </c>
    </row>
    <row r="27" spans="1:19" ht="48" x14ac:dyDescent="0.2">
      <c r="A27" s="35" t="s">
        <v>50</v>
      </c>
      <c r="B27" s="5">
        <f>900+900+900+900</f>
        <v>3600</v>
      </c>
      <c r="C27" s="5">
        <v>0</v>
      </c>
      <c r="D27" s="5">
        <v>0</v>
      </c>
      <c r="E27" s="6">
        <f t="shared" si="7"/>
        <v>3600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48">
        <v>0</v>
      </c>
      <c r="P27" s="31">
        <v>0</v>
      </c>
      <c r="Q27" s="31">
        <v>0</v>
      </c>
      <c r="R27" s="31">
        <v>0</v>
      </c>
      <c r="S27" s="34">
        <v>0</v>
      </c>
    </row>
    <row r="28" spans="1:19" x14ac:dyDescent="0.2">
      <c r="A28" s="36" t="s">
        <v>3</v>
      </c>
      <c r="B28" s="37">
        <f>SUM(B15:B27)</f>
        <v>273334.8</v>
      </c>
      <c r="C28" s="37">
        <f>SUM(C15:C27)</f>
        <v>101839.06</v>
      </c>
      <c r="D28" s="37">
        <f>SUM(D15:D27)</f>
        <v>0</v>
      </c>
      <c r="E28" s="37">
        <f>SUM(E14:E27)</f>
        <v>430941.75999999995</v>
      </c>
      <c r="F28" s="37">
        <f>SUM(F15:F27)</f>
        <v>35811.359999999993</v>
      </c>
      <c r="G28" s="37">
        <f>SUM(G15:G27)</f>
        <v>43168.80000000001</v>
      </c>
      <c r="H28" s="37">
        <f>SUM(H15:H27)</f>
        <v>47748.480000000003</v>
      </c>
      <c r="I28" s="37">
        <f>SUM(I15:I27)</f>
        <v>8600</v>
      </c>
      <c r="J28" s="37">
        <f>SUM(J15:J27)</f>
        <v>62669.88</v>
      </c>
      <c r="K28" s="37"/>
      <c r="L28" s="37"/>
      <c r="M28" s="37">
        <f t="shared" ref="M28:S28" si="9">SUM(M15:M27)</f>
        <v>65654.16</v>
      </c>
      <c r="N28" s="37">
        <f t="shared" si="9"/>
        <v>14605.24</v>
      </c>
      <c r="O28" s="37">
        <f t="shared" si="9"/>
        <v>278257.9200000001</v>
      </c>
      <c r="P28" s="37">
        <f t="shared" si="9"/>
        <v>95973</v>
      </c>
      <c r="Q28" s="37">
        <f t="shared" si="9"/>
        <v>249690</v>
      </c>
      <c r="R28" s="37">
        <f t="shared" si="9"/>
        <v>44764.19999999999</v>
      </c>
      <c r="S28" s="38">
        <f t="shared" si="9"/>
        <v>668685.12</v>
      </c>
    </row>
    <row r="29" spans="1:19" x14ac:dyDescent="0.2">
      <c r="Q29" s="47" t="s">
        <v>13</v>
      </c>
      <c r="R29" s="106">
        <f>E28-S28</f>
        <v>-237743.36000000004</v>
      </c>
      <c r="S29" s="106"/>
    </row>
    <row r="30" spans="1:19" x14ac:dyDescent="0.2">
      <c r="B30" t="s">
        <v>7</v>
      </c>
      <c r="C30" t="s">
        <v>70</v>
      </c>
      <c r="E30" t="s">
        <v>14</v>
      </c>
      <c r="Q30" s="47"/>
      <c r="R30" s="50"/>
      <c r="S30" s="50"/>
    </row>
    <row r="31" spans="1:19" x14ac:dyDescent="0.2">
      <c r="C31" t="s">
        <v>71</v>
      </c>
      <c r="E31" t="s">
        <v>72</v>
      </c>
      <c r="N31" s="1"/>
      <c r="Q31" s="47"/>
      <c r="R31" s="50"/>
      <c r="S31" s="50"/>
    </row>
    <row r="32" spans="1:19" x14ac:dyDescent="0.2">
      <c r="B32" t="s">
        <v>4</v>
      </c>
      <c r="C32" t="s">
        <v>73</v>
      </c>
      <c r="E32" t="s">
        <v>74</v>
      </c>
      <c r="Q32" s="55"/>
      <c r="R32" s="50"/>
      <c r="S32" s="50"/>
    </row>
    <row r="33" spans="1:19" x14ac:dyDescent="0.2">
      <c r="B33" t="s">
        <v>9</v>
      </c>
      <c r="C33" t="s">
        <v>73</v>
      </c>
      <c r="E33" t="s">
        <v>74</v>
      </c>
      <c r="Q33" s="47"/>
      <c r="R33" s="50"/>
      <c r="S33" s="50"/>
    </row>
    <row r="34" spans="1:19" x14ac:dyDescent="0.2">
      <c r="B34" t="s">
        <v>10</v>
      </c>
      <c r="C34" t="s">
        <v>75</v>
      </c>
      <c r="E34" t="s">
        <v>76</v>
      </c>
      <c r="Q34" s="47"/>
      <c r="R34" s="50"/>
      <c r="S34" s="50"/>
    </row>
    <row r="35" spans="1:19" x14ac:dyDescent="0.2">
      <c r="C35" t="s">
        <v>15</v>
      </c>
      <c r="E35" t="s">
        <v>78</v>
      </c>
      <c r="Q35" s="47"/>
      <c r="R35" s="50"/>
      <c r="S35" s="50"/>
    </row>
    <row r="36" spans="1:19" x14ac:dyDescent="0.2">
      <c r="B36" t="s">
        <v>11</v>
      </c>
      <c r="C36" t="s">
        <v>77</v>
      </c>
      <c r="E36" t="s">
        <v>79</v>
      </c>
      <c r="Q36" s="47"/>
      <c r="R36" s="50"/>
      <c r="S36" s="50"/>
    </row>
    <row r="37" spans="1:19" x14ac:dyDescent="0.2">
      <c r="Q37" s="47"/>
      <c r="R37" s="50"/>
      <c r="S37" s="50"/>
    </row>
    <row r="38" spans="1:19" x14ac:dyDescent="0.2">
      <c r="Q38" s="47"/>
      <c r="R38" s="50"/>
      <c r="S38" s="50"/>
    </row>
    <row r="39" spans="1:19" ht="15" x14ac:dyDescent="0.25">
      <c r="A39" s="95" t="s">
        <v>51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</row>
    <row r="40" spans="1:19" x14ac:dyDescent="0.2">
      <c r="A40" s="96" t="s">
        <v>52</v>
      </c>
      <c r="B40" s="96"/>
      <c r="C40" s="97" t="s">
        <v>5</v>
      </c>
      <c r="D40" s="97"/>
      <c r="E40" s="97"/>
      <c r="F40" s="97"/>
      <c r="G40" s="97"/>
      <c r="H40" s="97"/>
      <c r="I40" s="97"/>
      <c r="J40" s="97"/>
      <c r="K40" s="97"/>
      <c r="L40" s="98" t="s">
        <v>53</v>
      </c>
      <c r="M40" s="99"/>
      <c r="N40" s="100"/>
      <c r="O40" s="96" t="s">
        <v>54</v>
      </c>
      <c r="P40" s="104"/>
      <c r="Q40" s="96" t="s">
        <v>55</v>
      </c>
      <c r="R40" s="96"/>
      <c r="S40" s="104" t="s">
        <v>56</v>
      </c>
    </row>
    <row r="41" spans="1:19" x14ac:dyDescent="0.2">
      <c r="A41" s="96"/>
      <c r="B41" s="96"/>
      <c r="C41" s="97"/>
      <c r="D41" s="97"/>
      <c r="E41" s="97"/>
      <c r="F41" s="97"/>
      <c r="G41" s="97"/>
      <c r="H41" s="97"/>
      <c r="I41" s="97"/>
      <c r="J41" s="97"/>
      <c r="K41" s="97"/>
      <c r="L41" s="101"/>
      <c r="M41" s="102"/>
      <c r="N41" s="103"/>
      <c r="O41" s="96"/>
      <c r="P41" s="105"/>
      <c r="Q41" s="96"/>
      <c r="R41" s="96"/>
      <c r="S41" s="105"/>
    </row>
    <row r="42" spans="1:19" x14ac:dyDescent="0.2">
      <c r="A42" s="77"/>
      <c r="B42" s="78"/>
      <c r="C42" s="79" t="s">
        <v>57</v>
      </c>
      <c r="D42" s="80"/>
      <c r="E42" s="80"/>
      <c r="F42" s="80"/>
      <c r="G42" s="80"/>
      <c r="H42" s="80"/>
      <c r="I42" s="80"/>
      <c r="J42" s="80"/>
      <c r="K42" s="81"/>
      <c r="L42" s="85"/>
      <c r="M42" s="86"/>
      <c r="N42" s="87"/>
      <c r="O42" s="7"/>
      <c r="P42" s="7"/>
      <c r="Q42" s="63"/>
      <c r="R42" s="63"/>
      <c r="S42" s="7"/>
    </row>
    <row r="43" spans="1:19" x14ac:dyDescent="0.2">
      <c r="A43" s="77"/>
      <c r="B43" s="78"/>
      <c r="C43" s="79" t="s">
        <v>58</v>
      </c>
      <c r="D43" s="80"/>
      <c r="E43" s="80"/>
      <c r="F43" s="80"/>
      <c r="G43" s="80"/>
      <c r="H43" s="80"/>
      <c r="I43" s="80"/>
      <c r="J43" s="80"/>
      <c r="K43" s="81"/>
      <c r="L43" s="74" t="s">
        <v>59</v>
      </c>
      <c r="M43" s="75"/>
      <c r="N43" s="76"/>
      <c r="O43" s="39">
        <v>0.05</v>
      </c>
      <c r="P43" s="40"/>
      <c r="Q43" s="60">
        <f>SUM(O43*2487*12)</f>
        <v>1492.2</v>
      </c>
      <c r="R43" s="60"/>
      <c r="S43" s="39"/>
    </row>
    <row r="44" spans="1:19" x14ac:dyDescent="0.2">
      <c r="A44" s="77"/>
      <c r="B44" s="78"/>
      <c r="C44" s="79" t="s">
        <v>60</v>
      </c>
      <c r="D44" s="80"/>
      <c r="E44" s="80"/>
      <c r="F44" s="80"/>
      <c r="G44" s="80"/>
      <c r="H44" s="80"/>
      <c r="I44" s="80"/>
      <c r="J44" s="80"/>
      <c r="K44" s="81"/>
      <c r="L44" s="74" t="s">
        <v>59</v>
      </c>
      <c r="M44" s="75"/>
      <c r="N44" s="76"/>
      <c r="O44" s="39">
        <v>0.05</v>
      </c>
      <c r="P44" s="40"/>
      <c r="Q44" s="60">
        <f t="shared" ref="Q44:Q50" si="10">SUM(O44*2487*12)</f>
        <v>1492.2</v>
      </c>
      <c r="R44" s="60"/>
      <c r="S44" s="39"/>
    </row>
    <row r="45" spans="1:19" x14ac:dyDescent="0.2">
      <c r="A45" s="77"/>
      <c r="B45" s="78"/>
      <c r="C45" s="79" t="s">
        <v>61</v>
      </c>
      <c r="D45" s="80"/>
      <c r="E45" s="80"/>
      <c r="F45" s="80"/>
      <c r="G45" s="80"/>
      <c r="H45" s="80"/>
      <c r="I45" s="80"/>
      <c r="J45" s="80"/>
      <c r="K45" s="81"/>
      <c r="L45" s="74" t="s">
        <v>62</v>
      </c>
      <c r="M45" s="75"/>
      <c r="N45" s="76"/>
      <c r="O45" s="39">
        <v>0.15</v>
      </c>
      <c r="P45" s="40"/>
      <c r="Q45" s="60">
        <f t="shared" si="10"/>
        <v>4476.6000000000004</v>
      </c>
      <c r="R45" s="60"/>
      <c r="S45" s="39"/>
    </row>
    <row r="46" spans="1:19" x14ac:dyDescent="0.2">
      <c r="A46" s="57"/>
      <c r="B46" s="58"/>
      <c r="C46" s="67" t="s">
        <v>63</v>
      </c>
      <c r="D46" s="68"/>
      <c r="E46" s="68"/>
      <c r="F46" s="68"/>
      <c r="G46" s="68"/>
      <c r="H46" s="68"/>
      <c r="I46" s="68"/>
      <c r="J46" s="68"/>
      <c r="K46" s="69"/>
      <c r="L46" s="74" t="s">
        <v>59</v>
      </c>
      <c r="M46" s="75"/>
      <c r="N46" s="76"/>
      <c r="O46" s="2">
        <v>0.15</v>
      </c>
      <c r="P46" s="2"/>
      <c r="Q46" s="60">
        <f t="shared" si="10"/>
        <v>4476.6000000000004</v>
      </c>
      <c r="R46" s="60"/>
      <c r="S46" s="2"/>
    </row>
    <row r="47" spans="1:19" x14ac:dyDescent="0.2">
      <c r="A47" s="60"/>
      <c r="B47" s="60"/>
      <c r="C47" s="82" t="s">
        <v>64</v>
      </c>
      <c r="D47" s="83"/>
      <c r="E47" s="83"/>
      <c r="F47" s="83"/>
      <c r="G47" s="83"/>
      <c r="H47" s="83"/>
      <c r="I47" s="83"/>
      <c r="J47" s="83"/>
      <c r="K47" s="84"/>
      <c r="L47" s="70" t="s">
        <v>65</v>
      </c>
      <c r="M47" s="71"/>
      <c r="N47" s="72"/>
      <c r="O47" s="2">
        <v>0.25</v>
      </c>
      <c r="P47" s="2"/>
      <c r="Q47" s="60">
        <f t="shared" si="10"/>
        <v>7461</v>
      </c>
      <c r="R47" s="60"/>
      <c r="S47" s="2"/>
    </row>
    <row r="48" spans="1:19" x14ac:dyDescent="0.2">
      <c r="A48" s="57"/>
      <c r="B48" s="58"/>
      <c r="C48" s="82" t="s">
        <v>66</v>
      </c>
      <c r="D48" s="83"/>
      <c r="E48" s="83"/>
      <c r="F48" s="83"/>
      <c r="G48" s="83"/>
      <c r="H48" s="83"/>
      <c r="I48" s="83"/>
      <c r="J48" s="83"/>
      <c r="K48" s="84"/>
      <c r="L48" s="70" t="s">
        <v>65</v>
      </c>
      <c r="M48" s="71"/>
      <c r="N48" s="72"/>
      <c r="O48" s="2">
        <v>0.1</v>
      </c>
      <c r="P48" s="41"/>
      <c r="Q48" s="60">
        <f t="shared" si="10"/>
        <v>2984.4</v>
      </c>
      <c r="R48" s="60"/>
      <c r="S48" s="2"/>
    </row>
    <row r="49" spans="1:19" x14ac:dyDescent="0.2">
      <c r="A49" s="60"/>
      <c r="B49" s="60"/>
      <c r="C49" s="67" t="s">
        <v>67</v>
      </c>
      <c r="D49" s="68"/>
      <c r="E49" s="68"/>
      <c r="F49" s="68"/>
      <c r="G49" s="68"/>
      <c r="H49" s="68"/>
      <c r="I49" s="68"/>
      <c r="J49" s="68"/>
      <c r="K49" s="69"/>
      <c r="L49" s="70" t="s">
        <v>65</v>
      </c>
      <c r="M49" s="71"/>
      <c r="N49" s="72"/>
      <c r="O49" s="2">
        <v>0.25</v>
      </c>
      <c r="P49" s="2"/>
      <c r="Q49" s="60">
        <f t="shared" si="10"/>
        <v>7461</v>
      </c>
      <c r="R49" s="60"/>
      <c r="S49" s="2"/>
    </row>
    <row r="50" spans="1:19" x14ac:dyDescent="0.2">
      <c r="A50" s="42"/>
      <c r="B50" s="9"/>
      <c r="C50" s="73" t="s">
        <v>68</v>
      </c>
      <c r="D50" s="73"/>
      <c r="E50" s="73"/>
      <c r="F50" s="73"/>
      <c r="G50" s="73"/>
      <c r="H50" s="73"/>
      <c r="I50" s="73"/>
      <c r="J50" s="73"/>
      <c r="K50" s="73"/>
      <c r="L50" s="74" t="s">
        <v>59</v>
      </c>
      <c r="M50" s="75"/>
      <c r="N50" s="76"/>
      <c r="O50" s="3">
        <v>1</v>
      </c>
      <c r="P50" s="43"/>
      <c r="Q50" s="60">
        <f t="shared" si="10"/>
        <v>29844</v>
      </c>
      <c r="R50" s="60"/>
      <c r="S50" s="2"/>
    </row>
    <row r="51" spans="1:19" x14ac:dyDescent="0.2">
      <c r="E51" s="64" t="s">
        <v>69</v>
      </c>
      <c r="F51" s="65"/>
      <c r="G51" s="65"/>
      <c r="H51" s="65"/>
      <c r="I51" s="65"/>
      <c r="J51" s="65"/>
      <c r="K51" s="65"/>
      <c r="L51" s="65"/>
      <c r="M51" s="65"/>
      <c r="N51" s="66"/>
      <c r="O51" s="8">
        <f>SUM(O43:O50)</f>
        <v>2</v>
      </c>
      <c r="P51" s="44"/>
      <c r="Q51" s="56">
        <f>SUM(Q43:Q50)</f>
        <v>59688</v>
      </c>
      <c r="R51" s="56"/>
      <c r="S51" s="2"/>
    </row>
  </sheetData>
  <mergeCells count="77">
    <mergeCell ref="A3:S3"/>
    <mergeCell ref="A4:S4"/>
    <mergeCell ref="A5:E5"/>
    <mergeCell ref="F5:R5"/>
    <mergeCell ref="B6:E6"/>
    <mergeCell ref="F6:O6"/>
    <mergeCell ref="P6:Q7"/>
    <mergeCell ref="R6:R8"/>
    <mergeCell ref="S6:S8"/>
    <mergeCell ref="B7:B8"/>
    <mergeCell ref="O7:O8"/>
    <mergeCell ref="A12:E12"/>
    <mergeCell ref="I7:I8"/>
    <mergeCell ref="J7:J8"/>
    <mergeCell ref="K7:K8"/>
    <mergeCell ref="L7:L8"/>
    <mergeCell ref="C7:C8"/>
    <mergeCell ref="D7:D8"/>
    <mergeCell ref="E7:E8"/>
    <mergeCell ref="F7:F8"/>
    <mergeCell ref="G7:G8"/>
    <mergeCell ref="H7:H8"/>
    <mergeCell ref="P9:Q9"/>
    <mergeCell ref="A11:D11"/>
    <mergeCell ref="F11:N11"/>
    <mergeCell ref="P11:Q11"/>
    <mergeCell ref="M7:M8"/>
    <mergeCell ref="N7:N8"/>
    <mergeCell ref="A13:E13"/>
    <mergeCell ref="F13:S13"/>
    <mergeCell ref="A14:D14"/>
    <mergeCell ref="A39:S39"/>
    <mergeCell ref="A40:B41"/>
    <mergeCell ref="C40:K41"/>
    <mergeCell ref="L40:N41"/>
    <mergeCell ref="O40:O41"/>
    <mergeCell ref="P40:P41"/>
    <mergeCell ref="Q40:R41"/>
    <mergeCell ref="S40:S41"/>
    <mergeCell ref="R29:S29"/>
    <mergeCell ref="C42:K42"/>
    <mergeCell ref="L42:N42"/>
    <mergeCell ref="Q42:R42"/>
    <mergeCell ref="A44:B44"/>
    <mergeCell ref="C44:K44"/>
    <mergeCell ref="L44:N44"/>
    <mergeCell ref="Q44:R44"/>
    <mergeCell ref="A43:B43"/>
    <mergeCell ref="C43:K43"/>
    <mergeCell ref="L43:N43"/>
    <mergeCell ref="Q43:R43"/>
    <mergeCell ref="A42:B42"/>
    <mergeCell ref="L48:N48"/>
    <mergeCell ref="Q48:R48"/>
    <mergeCell ref="A45:B45"/>
    <mergeCell ref="C45:K45"/>
    <mergeCell ref="L45:N45"/>
    <mergeCell ref="Q45:R45"/>
    <mergeCell ref="A46:B46"/>
    <mergeCell ref="C46:K46"/>
    <mergeCell ref="L46:N46"/>
    <mergeCell ref="Q46:R46"/>
    <mergeCell ref="A47:B47"/>
    <mergeCell ref="C47:K47"/>
    <mergeCell ref="L47:N47"/>
    <mergeCell ref="Q47:R47"/>
    <mergeCell ref="A48:B48"/>
    <mergeCell ref="C48:K48"/>
    <mergeCell ref="E51:N51"/>
    <mergeCell ref="Q51:R51"/>
    <mergeCell ref="A49:B49"/>
    <mergeCell ref="C49:K49"/>
    <mergeCell ref="L49:N49"/>
    <mergeCell ref="Q49:R49"/>
    <mergeCell ref="C50:K50"/>
    <mergeCell ref="L50:N50"/>
    <mergeCell ref="Q50:R50"/>
  </mergeCells>
  <pageMargins left="0.13541666666666666" right="1.0416666666666666E-2" top="7.2916666666666671E-2" bottom="2.0833333333333332E-2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2016</vt:lpstr>
      <vt:lpstr>'2016'!Область_печати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2017-02-03T05:01:58Z</cp:lastPrinted>
  <dcterms:created xsi:type="dcterms:W3CDTF">2007-02-04T12:22:59Z</dcterms:created>
  <dcterms:modified xsi:type="dcterms:W3CDTF">2017-02-06T09:43:01Z</dcterms:modified>
</cp:coreProperties>
</file>