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2225" windowHeight="4755"/>
  </bookViews>
  <sheets>
    <sheet name="2016" sheetId="5" r:id="rId1"/>
  </sheets>
  <definedNames>
    <definedName name="_xlnm.Print_Area" localSheetId="0">'2016'!$A$3:$S$36</definedName>
  </definedNames>
  <calcPr calcId="145621"/>
</workbook>
</file>

<file path=xl/calcChain.xml><?xml version="1.0" encoding="utf-8"?>
<calcChain xmlns="http://schemas.openxmlformats.org/spreadsheetml/2006/main">
  <c r="B26" i="5" l="1"/>
  <c r="C26" i="5"/>
  <c r="E26" i="5"/>
  <c r="O26" i="5"/>
  <c r="S26" i="5"/>
  <c r="R28" i="5"/>
  <c r="Q28" i="5"/>
  <c r="N28" i="5"/>
  <c r="I28" i="5"/>
  <c r="B25" i="5" l="1"/>
  <c r="E25" i="5" s="1"/>
  <c r="C25" i="5"/>
  <c r="O25" i="5"/>
  <c r="S25" i="5" s="1"/>
  <c r="B24" i="5" l="1"/>
  <c r="E24" i="5" s="1"/>
  <c r="C24" i="5"/>
  <c r="O24" i="5"/>
  <c r="S24" i="5" s="1"/>
  <c r="B23" i="5" l="1"/>
  <c r="C23" i="5"/>
  <c r="O23" i="5"/>
  <c r="S23" i="5" s="1"/>
  <c r="E23" i="5" l="1"/>
  <c r="P22" i="5"/>
  <c r="P28" i="5" s="1"/>
  <c r="O22" i="5" l="1"/>
  <c r="C22" i="5"/>
  <c r="B22" i="5"/>
  <c r="E22" i="5" s="1"/>
  <c r="S22" i="5" l="1"/>
  <c r="B21" i="5"/>
  <c r="C21" i="5"/>
  <c r="O21" i="5"/>
  <c r="S21" i="5" s="1"/>
  <c r="E21" i="5" l="1"/>
  <c r="B20" i="5"/>
  <c r="C20" i="5"/>
  <c r="E20" i="5" s="1"/>
  <c r="O20" i="5"/>
  <c r="S20" i="5" s="1"/>
  <c r="B19" i="5" l="1"/>
  <c r="C19" i="5"/>
  <c r="O19" i="5"/>
  <c r="S19" i="5" s="1"/>
  <c r="E19" i="5" l="1"/>
  <c r="O18" i="5"/>
  <c r="S18" i="5" s="1"/>
  <c r="C18" i="5"/>
  <c r="B18" i="5"/>
  <c r="E18" i="5" l="1"/>
  <c r="O17" i="5" l="1"/>
  <c r="S17" i="5" s="1"/>
  <c r="C17" i="5"/>
  <c r="B17" i="5"/>
  <c r="E17" i="5" l="1"/>
  <c r="M12" i="5"/>
  <c r="K12" i="5"/>
  <c r="K15" i="5"/>
  <c r="K28" i="5" s="1"/>
  <c r="H15" i="5"/>
  <c r="H28" i="5" s="1"/>
  <c r="F15" i="5"/>
  <c r="F28" i="5" s="1"/>
  <c r="S9" i="5"/>
  <c r="Q12" i="5" l="1"/>
  <c r="P12" i="5"/>
  <c r="O16" i="5"/>
  <c r="S16" i="5" s="1"/>
  <c r="M15" i="5"/>
  <c r="M28" i="5" s="1"/>
  <c r="J15" i="5"/>
  <c r="J28" i="5" s="1"/>
  <c r="G15" i="5"/>
  <c r="G28" i="5" s="1"/>
  <c r="J12" i="5"/>
  <c r="H12" i="5"/>
  <c r="G12" i="5"/>
  <c r="F12" i="5"/>
  <c r="C16" i="5"/>
  <c r="B16" i="5"/>
  <c r="C15" i="5"/>
  <c r="C28" i="5" s="1"/>
  <c r="B15" i="5"/>
  <c r="B28" i="5" s="1"/>
  <c r="O9" i="5"/>
  <c r="E16" i="5" l="1"/>
  <c r="E15" i="5"/>
  <c r="O15" i="5"/>
  <c r="O28" i="5" s="1"/>
  <c r="O50" i="5"/>
  <c r="Q49" i="5"/>
  <c r="Q48" i="5"/>
  <c r="Q47" i="5"/>
  <c r="Q46" i="5"/>
  <c r="Q45" i="5"/>
  <c r="Q44" i="5"/>
  <c r="Q43" i="5"/>
  <c r="Q42" i="5"/>
  <c r="R12" i="5"/>
  <c r="N12" i="5"/>
  <c r="L12" i="5"/>
  <c r="I12" i="5"/>
  <c r="O10" i="5"/>
  <c r="E10" i="5"/>
  <c r="E28" i="5" l="1"/>
  <c r="Q50" i="5"/>
  <c r="S15" i="5"/>
  <c r="S28" i="5" s="1"/>
  <c r="O12" i="5"/>
  <c r="S10" i="5"/>
  <c r="S12" i="5" s="1"/>
  <c r="R29" i="5" l="1"/>
</calcChain>
</file>

<file path=xl/comments1.xml><?xml version="1.0" encoding="utf-8"?>
<comments xmlns="http://schemas.openxmlformats.org/spreadsheetml/2006/main">
  <authors>
    <author>User</author>
  </authors>
  <commentList>
    <comment ref="N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1280р-онетушитель в лифт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400р-ремонт парапета 4м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1700р-страхование лифтов
892р-краска и тд.</t>
        </r>
      </text>
    </comment>
    <comment ref="N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покос-1924р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покос-1924р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2200р-испытание лифта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тех.обслуживание ОДГО-67,37р</t>
        </r>
      </text>
    </comment>
  </commentList>
</comments>
</file>

<file path=xl/sharedStrings.xml><?xml version="1.0" encoding="utf-8"?>
<sst xmlns="http://schemas.openxmlformats.org/spreadsheetml/2006/main" count="94" uniqueCount="84">
  <si>
    <t>Содержание</t>
  </si>
  <si>
    <t>ремонт</t>
  </si>
  <si>
    <t>итого</t>
  </si>
  <si>
    <t>Наименование работ</t>
  </si>
  <si>
    <t>апрель</t>
  </si>
  <si>
    <t>ИТОГО</t>
  </si>
  <si>
    <t>март</t>
  </si>
  <si>
    <t>июль</t>
  </si>
  <si>
    <t>июнь</t>
  </si>
  <si>
    <t>август</t>
  </si>
  <si>
    <t>сентябрь</t>
  </si>
  <si>
    <t>октябрь</t>
  </si>
  <si>
    <t>февраль</t>
  </si>
  <si>
    <t>май</t>
  </si>
  <si>
    <t>январь</t>
  </si>
  <si>
    <t>2200р</t>
  </si>
  <si>
    <t>испытание лифта</t>
  </si>
  <si>
    <t>страхование лифтов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</si>
  <si>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</si>
  <si>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</si>
  <si>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</si>
  <si>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</si>
  <si>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</si>
  <si>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</si>
  <si>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</si>
  <si>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</si>
  <si>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</si>
  <si>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</si>
  <si>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</si>
  <si>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</si>
  <si>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</si>
  <si>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</si>
  <si>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</si>
  <si>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r>
      <rPr>
        <b/>
        <sz val="8"/>
        <rFont val="Arial Cyr"/>
        <charset val="204"/>
      </rPr>
      <t>СОДЕРЖАНИ</t>
    </r>
    <r>
      <rPr>
        <sz val="8"/>
        <rFont val="Arial Cyr"/>
        <charset val="204"/>
      </rPr>
      <t>Е,    всего</t>
    </r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</si>
  <si>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</si>
  <si>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</si>
  <si>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</si>
  <si>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</si>
  <si>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</si>
  <si>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</si>
  <si>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</si>
  <si>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</si>
  <si>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</si>
  <si>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</si>
  <si>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</si>
  <si>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</si>
  <si>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</si>
  <si>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</si>
  <si>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</si>
  <si>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</si>
  <si>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</si>
  <si>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</si>
  <si>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</si>
  <si>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</si>
  <si>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</si>
  <si>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</si>
  <si>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</si>
  <si>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</si>
  <si>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</si>
  <si>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</si>
  <si>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по мере необходимости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</si>
  <si>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</si>
  <si>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</si>
  <si>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</si>
  <si>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</si>
  <si>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</si>
  <si>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</si>
  <si>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</si>
  <si>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</si>
  <si>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Непредвиденные расходы</t>
  </si>
  <si>
    <t>Итого</t>
  </si>
  <si>
    <t>Информация о доходах и расходах по дому __Быкова 75_на 2016год.</t>
  </si>
  <si>
    <t>ИТОГО:</t>
  </si>
  <si>
    <t>1280р</t>
  </si>
  <si>
    <t>онетушитель в лифт</t>
  </si>
  <si>
    <t>400р</t>
  </si>
  <si>
    <t>ремонт парапета 4м</t>
  </si>
  <si>
    <t>1700р</t>
  </si>
  <si>
    <t>892р</t>
  </si>
  <si>
    <t>краска и т.д</t>
  </si>
  <si>
    <t>1924р</t>
  </si>
  <si>
    <t>покос</t>
  </si>
  <si>
    <t>67,37р</t>
  </si>
  <si>
    <t>тех.обслуживание ОДГО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</si>
</sst>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2" fontId="0" fillId="0" borderId="4" xfId="0" applyNumberFormat="1" applyBorder="1"/>
    <xf numFmtId="0" fontId="0" fillId="0" borderId="4" xfId="0" applyBorder="1"/>
    <xf numFmtId="164" fontId="0" fillId="0" borderId="0" xfId="0" applyNumberFormat="1"/>
    <xf numFmtId="164" fontId="2" fillId="2" borderId="4" xfId="0" applyNumberFormat="1" applyFont="1" applyFill="1" applyBorder="1" applyAlignment="1"/>
    <xf numFmtId="0" fontId="0" fillId="0" borderId="4" xfId="0" applyBorder="1" applyAlignment="1">
      <alignment horizontal="center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/>
    </xf>
    <xf numFmtId="0" fontId="1" fillId="5" borderId="13" xfId="0" applyFont="1" applyFill="1" applyBorder="1" applyAlignment="1"/>
    <xf numFmtId="0" fontId="1" fillId="5" borderId="13" xfId="0" applyFont="1" applyFill="1" applyBorder="1" applyAlignment="1">
      <alignment wrapText="1"/>
    </xf>
    <xf numFmtId="2" fontId="12" fillId="5" borderId="13" xfId="0" applyNumberFormat="1" applyFont="1" applyFill="1" applyBorder="1" applyAlignment="1"/>
    <xf numFmtId="2" fontId="2" fillId="0" borderId="1" xfId="0" applyNumberFormat="1" applyFont="1" applyBorder="1" applyAlignment="1">
      <alignment horizontal="left" vertical="top" textRotation="90" wrapText="1"/>
    </xf>
    <xf numFmtId="0" fontId="7" fillId="5" borderId="4" xfId="0" applyNumberFormat="1" applyFont="1" applyFill="1" applyBorder="1" applyAlignment="1"/>
    <xf numFmtId="2" fontId="8" fillId="0" borderId="5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left" wrapText="1"/>
    </xf>
    <xf numFmtId="2" fontId="12" fillId="0" borderId="5" xfId="0" applyNumberFormat="1" applyFont="1" applyBorder="1" applyAlignment="1">
      <alignment horizontal="left" wrapText="1"/>
    </xf>
    <xf numFmtId="2" fontId="13" fillId="0" borderId="5" xfId="0" applyNumberFormat="1" applyFont="1" applyBorder="1" applyAlignment="1">
      <alignment horizontal="center" wrapText="1"/>
    </xf>
    <xf numFmtId="0" fontId="7" fillId="5" borderId="4" xfId="0" applyNumberFormat="1" applyFont="1" applyFill="1" applyBorder="1" applyAlignment="1">
      <alignment wrapText="1"/>
    </xf>
    <xf numFmtId="4" fontId="8" fillId="5" borderId="4" xfId="0" applyNumberFormat="1" applyFont="1" applyFill="1" applyBorder="1"/>
    <xf numFmtId="2" fontId="12" fillId="0" borderId="5" xfId="0" applyNumberFormat="1" applyFont="1" applyBorder="1" applyAlignment="1">
      <alignment horizontal="center" vertical="top" wrapText="1"/>
    </xf>
    <xf numFmtId="4" fontId="8" fillId="5" borderId="4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4" fontId="2" fillId="5" borderId="4" xfId="0" applyNumberFormat="1" applyFont="1" applyFill="1" applyBorder="1"/>
    <xf numFmtId="2" fontId="1" fillId="8" borderId="2" xfId="0" applyNumberFormat="1" applyFont="1" applyFill="1" applyBorder="1" applyAlignment="1">
      <alignment horizontal="center" vertical="top" wrapText="1"/>
    </xf>
    <xf numFmtId="2" fontId="2" fillId="8" borderId="7" xfId="0" applyNumberFormat="1" applyFont="1" applyFill="1" applyBorder="1" applyAlignment="1">
      <alignment horizontal="center" vertical="top" wrapText="1"/>
    </xf>
    <xf numFmtId="2" fontId="2" fillId="8" borderId="12" xfId="0" applyNumberFormat="1" applyFont="1" applyFill="1" applyBorder="1" applyAlignment="1">
      <alignment horizontal="center" vertical="top" wrapText="1"/>
    </xf>
    <xf numFmtId="2" fontId="2" fillId="8" borderId="6" xfId="0" applyNumberFormat="1" applyFont="1" applyFill="1" applyBorder="1" applyAlignment="1">
      <alignment horizontal="center" vertical="top" wrapText="1"/>
    </xf>
    <xf numFmtId="17" fontId="8" fillId="9" borderId="4" xfId="0" applyNumberFormat="1" applyFont="1" applyFill="1" applyBorder="1" applyAlignment="1">
      <alignment horizontal="left"/>
    </xf>
    <xf numFmtId="164" fontId="2" fillId="2" borderId="4" xfId="0" applyNumberFormat="1" applyFont="1" applyFill="1" applyBorder="1"/>
    <xf numFmtId="164" fontId="2" fillId="8" borderId="4" xfId="0" applyNumberFormat="1" applyFont="1" applyFill="1" applyBorder="1"/>
    <xf numFmtId="164" fontId="2" fillId="8" borderId="5" xfId="0" applyNumberFormat="1" applyFont="1" applyFill="1" applyBorder="1"/>
    <xf numFmtId="164" fontId="2" fillId="6" borderId="4" xfId="0" applyNumberFormat="1" applyFont="1" applyFill="1" applyBorder="1"/>
    <xf numFmtId="4" fontId="2" fillId="8" borderId="4" xfId="0" applyNumberFormat="1" applyFont="1" applyFill="1" applyBorder="1"/>
    <xf numFmtId="17" fontId="8" fillId="3" borderId="4" xfId="0" applyNumberFormat="1" applyFont="1" applyFill="1" applyBorder="1" applyAlignment="1">
      <alignment horizontal="left" wrapText="1"/>
    </xf>
    <xf numFmtId="0" fontId="8" fillId="4" borderId="4" xfId="0" applyFont="1" applyFill="1" applyBorder="1"/>
    <xf numFmtId="164" fontId="2" fillId="4" borderId="4" xfId="0" applyNumberFormat="1" applyFont="1" applyFill="1" applyBorder="1"/>
    <xf numFmtId="4" fontId="12" fillId="4" borderId="4" xfId="0" applyNumberFormat="1" applyFont="1" applyFill="1" applyBorder="1"/>
    <xf numFmtId="0" fontId="0" fillId="10" borderId="4" xfId="0" applyFill="1" applyBorder="1"/>
    <xf numFmtId="0" fontId="0" fillId="5" borderId="4" xfId="0" applyFill="1" applyBorder="1"/>
    <xf numFmtId="0" fontId="0" fillId="5" borderId="2" xfId="0" applyFill="1" applyBorder="1"/>
    <xf numFmtId="0" fontId="0" fillId="0" borderId="2" xfId="0" applyBorder="1"/>
    <xf numFmtId="0" fontId="0" fillId="0" borderId="0" xfId="0" applyBorder="1" applyAlignment="1">
      <alignment horizontal="center"/>
    </xf>
    <xf numFmtId="2" fontId="0" fillId="0" borderId="6" xfId="0" applyNumberFormat="1" applyBorder="1"/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/>
    <xf numFmtId="164" fontId="2" fillId="11" borderId="4" xfId="0" applyNumberFormat="1" applyFont="1" applyFill="1" applyBorder="1"/>
    <xf numFmtId="0" fontId="2" fillId="0" borderId="5" xfId="0" applyFont="1" applyBorder="1" applyAlignment="1">
      <alignment horizontal="left"/>
    </xf>
    <xf numFmtId="2" fontId="14" fillId="0" borderId="5" xfId="0" applyNumberFormat="1" applyFont="1" applyBorder="1" applyAlignment="1">
      <alignment horizontal="left"/>
    </xf>
    <xf numFmtId="0" fontId="8" fillId="0" borderId="0" xfId="0" applyFont="1" applyFill="1" applyBorder="1"/>
    <xf numFmtId="164" fontId="2" fillId="0" borderId="0" xfId="0" applyNumberFormat="1" applyFont="1" applyFill="1" applyBorder="1"/>
    <xf numFmtId="164" fontId="13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right" vertical="top" wrapText="1"/>
    </xf>
    <xf numFmtId="2" fontId="12" fillId="0" borderId="5" xfId="0" applyNumberFormat="1" applyFont="1" applyFill="1" applyBorder="1" applyAlignment="1">
      <alignment horizontal="right" vertical="top" wrapText="1"/>
    </xf>
    <xf numFmtId="2" fontId="12" fillId="0" borderId="4" xfId="0" applyNumberFormat="1" applyFont="1" applyFill="1" applyBorder="1" applyAlignment="1">
      <alignment vertical="top" wrapText="1"/>
    </xf>
    <xf numFmtId="2" fontId="12" fillId="0" borderId="5" xfId="0" applyNumberFormat="1" applyFont="1" applyFill="1" applyBorder="1" applyAlignment="1">
      <alignment horizontal="center" vertical="top" wrapText="1"/>
    </xf>
    <xf numFmtId="164" fontId="5" fillId="4" borderId="4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left" wrapText="1"/>
    </xf>
    <xf numFmtId="2" fontId="12" fillId="0" borderId="11" xfId="0" applyNumberFormat="1" applyFont="1" applyBorder="1" applyAlignment="1">
      <alignment horizontal="left" wrapText="1"/>
    </xf>
    <xf numFmtId="2" fontId="12" fillId="0" borderId="8" xfId="0" applyNumberFormat="1" applyFont="1" applyBorder="1" applyAlignment="1">
      <alignment horizontal="left" wrapText="1"/>
    </xf>
    <xf numFmtId="2" fontId="12" fillId="0" borderId="14" xfId="0" applyNumberFormat="1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textRotation="90" wrapText="1"/>
    </xf>
    <xf numFmtId="2" fontId="12" fillId="0" borderId="3" xfId="0" applyNumberFormat="1" applyFont="1" applyBorder="1" applyAlignment="1">
      <alignment horizontal="left" textRotation="90" wrapText="1"/>
    </xf>
    <xf numFmtId="2" fontId="12" fillId="0" borderId="5" xfId="0" applyNumberFormat="1" applyFont="1" applyBorder="1" applyAlignment="1">
      <alignment horizontal="left" textRotation="90" wrapText="1"/>
    </xf>
    <xf numFmtId="2" fontId="13" fillId="0" borderId="1" xfId="0" applyNumberFormat="1" applyFont="1" applyBorder="1" applyAlignment="1">
      <alignment horizontal="center" wrapText="1"/>
    </xf>
    <xf numFmtId="2" fontId="13" fillId="0" borderId="3" xfId="0" applyNumberFormat="1" applyFont="1" applyBorder="1" applyAlignment="1">
      <alignment horizontal="center" wrapText="1"/>
    </xf>
    <xf numFmtId="2" fontId="13" fillId="0" borderId="5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textRotation="90" wrapText="1"/>
    </xf>
    <xf numFmtId="0" fontId="0" fillId="0" borderId="5" xfId="0" applyBorder="1" applyAlignment="1">
      <alignment horizontal="left"/>
    </xf>
    <xf numFmtId="0" fontId="1" fillId="6" borderId="2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0" fillId="0" borderId="5" xfId="0" applyBorder="1"/>
    <xf numFmtId="2" fontId="12" fillId="0" borderId="2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2" fontId="1" fillId="8" borderId="2" xfId="0" applyNumberFormat="1" applyFont="1" applyFill="1" applyBorder="1" applyAlignment="1">
      <alignment horizontal="center" vertical="top" wrapText="1"/>
    </xf>
    <xf numFmtId="2" fontId="2" fillId="8" borderId="7" xfId="0" applyNumberFormat="1" applyFont="1" applyFill="1" applyBorder="1" applyAlignment="1">
      <alignment horizontal="center" vertical="top" wrapText="1"/>
    </xf>
    <xf numFmtId="2" fontId="2" fillId="8" borderId="6" xfId="0" applyNumberFormat="1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13" fillId="0" borderId="1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10" borderId="2" xfId="0" applyFill="1" applyBorder="1" applyAlignment="1">
      <alignment horizontal="left" wrapText="1"/>
    </xf>
    <xf numFmtId="0" fontId="0" fillId="10" borderId="7" xfId="0" applyFill="1" applyBorder="1" applyAlignment="1">
      <alignment horizontal="left" wrapText="1"/>
    </xf>
    <xf numFmtId="0" fontId="0" fillId="10" borderId="6" xfId="0" applyFill="1" applyBorder="1" applyAlignment="1">
      <alignment horizontal="left" wrapText="1"/>
    </xf>
    <xf numFmtId="0" fontId="0" fillId="10" borderId="2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6" xfId="0" applyFill="1" applyBorder="1" applyAlignment="1">
      <alignment horizontal="center" wrapText="1"/>
    </xf>
    <xf numFmtId="0" fontId="0" fillId="10" borderId="4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S50"/>
  <sheetViews>
    <sheetView tabSelected="1" topLeftCell="A3" zoomScaleNormal="100" workbookViewId="0">
      <selection activeCell="K37" sqref="K37:O37"/>
    </sheetView>
  </sheetViews>
  <sheetFormatPr defaultRowHeight="12.75" x14ac:dyDescent="0.2"/>
  <cols>
    <col min="1" max="1" width="5.28515625" customWidth="1"/>
    <col min="2" max="2" width="10" customWidth="1"/>
    <col min="3" max="3" width="9" customWidth="1"/>
    <col min="4" max="4" width="9.140625" hidden="1" customWidth="1"/>
    <col min="5" max="5" width="10" customWidth="1"/>
    <col min="6" max="6" width="8.85546875" customWidth="1"/>
    <col min="7" max="7" width="6.42578125" customWidth="1"/>
    <col min="8" max="8" width="8.85546875" customWidth="1"/>
    <col min="9" max="9" width="7.28515625" customWidth="1"/>
    <col min="10" max="10" width="9.140625" customWidth="1"/>
    <col min="11" max="11" width="9.7109375" customWidth="1"/>
    <col min="12" max="12" width="6" hidden="1" customWidth="1"/>
    <col min="14" max="14" width="8.85546875" customWidth="1"/>
    <col min="15" max="15" width="9.85546875" customWidth="1"/>
    <col min="17" max="17" width="10.7109375" bestFit="1" customWidth="1"/>
    <col min="18" max="18" width="8" customWidth="1"/>
  </cols>
  <sheetData>
    <row r="1" spans="1:19" hidden="1" x14ac:dyDescent="0.2"/>
    <row r="2" spans="1:19" hidden="1" x14ac:dyDescent="0.2"/>
    <row r="3" spans="1:19" ht="15.75" x14ac:dyDescent="0.25">
      <c r="A3" s="62" t="s">
        <v>71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x14ac:dyDescent="0.2">
      <c r="A5" s="64"/>
      <c r="B5" s="65"/>
      <c r="C5" s="65"/>
      <c r="D5" s="65"/>
      <c r="E5" s="58"/>
      <c r="F5" s="59" t="s">
        <v>18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2"/>
    </row>
    <row r="6" spans="1:19" x14ac:dyDescent="0.2">
      <c r="A6" s="8"/>
      <c r="B6" s="66" t="s">
        <v>19</v>
      </c>
      <c r="C6" s="66"/>
      <c r="D6" s="66"/>
      <c r="E6" s="66"/>
      <c r="F6" s="67" t="s">
        <v>0</v>
      </c>
      <c r="G6" s="68"/>
      <c r="H6" s="68"/>
      <c r="I6" s="68"/>
      <c r="J6" s="68"/>
      <c r="K6" s="68"/>
      <c r="L6" s="68"/>
      <c r="M6" s="68"/>
      <c r="N6" s="68"/>
      <c r="O6" s="69"/>
      <c r="P6" s="70" t="s">
        <v>20</v>
      </c>
      <c r="Q6" s="71"/>
      <c r="R6" s="74" t="s">
        <v>21</v>
      </c>
      <c r="S6" s="77" t="s">
        <v>5</v>
      </c>
    </row>
    <row r="7" spans="1:19" x14ac:dyDescent="0.2">
      <c r="A7" s="9"/>
      <c r="B7" s="60" t="s">
        <v>22</v>
      </c>
      <c r="C7" s="60" t="s">
        <v>1</v>
      </c>
      <c r="D7" s="60" t="s">
        <v>23</v>
      </c>
      <c r="E7" s="87" t="s">
        <v>2</v>
      </c>
      <c r="F7" s="85" t="s">
        <v>24</v>
      </c>
      <c r="G7" s="85" t="s">
        <v>25</v>
      </c>
      <c r="H7" s="85" t="s">
        <v>26</v>
      </c>
      <c r="I7" s="85" t="s">
        <v>27</v>
      </c>
      <c r="J7" s="85" t="s">
        <v>28</v>
      </c>
      <c r="K7" s="85" t="s">
        <v>29</v>
      </c>
      <c r="L7" s="85" t="s">
        <v>30</v>
      </c>
      <c r="M7" s="85" t="s">
        <v>31</v>
      </c>
      <c r="N7" s="85" t="s">
        <v>32</v>
      </c>
      <c r="O7" s="80" t="s">
        <v>33</v>
      </c>
      <c r="P7" s="72"/>
      <c r="Q7" s="73"/>
      <c r="R7" s="75"/>
      <c r="S7" s="78"/>
    </row>
    <row r="8" spans="1:19" ht="124.5" customHeight="1" x14ac:dyDescent="0.2">
      <c r="A8" s="10"/>
      <c r="B8" s="61"/>
      <c r="C8" s="61"/>
      <c r="D8" s="61"/>
      <c r="E8" s="88"/>
      <c r="F8" s="89"/>
      <c r="G8" s="86"/>
      <c r="H8" s="86"/>
      <c r="I8" s="86"/>
      <c r="J8" s="86"/>
      <c r="K8" s="86"/>
      <c r="L8" s="86"/>
      <c r="M8" s="86"/>
      <c r="N8" s="86"/>
      <c r="O8" s="81"/>
      <c r="P8" s="11" t="s">
        <v>34</v>
      </c>
      <c r="Q8" s="11" t="s">
        <v>35</v>
      </c>
      <c r="R8" s="76"/>
      <c r="S8" s="79"/>
    </row>
    <row r="9" spans="1:19" ht="15" x14ac:dyDescent="0.25">
      <c r="A9" s="12">
        <v>2015</v>
      </c>
      <c r="B9" s="6">
        <v>13</v>
      </c>
      <c r="C9" s="6">
        <v>5</v>
      </c>
      <c r="D9" s="6">
        <v>0</v>
      </c>
      <c r="E9" s="13">
        <v>18</v>
      </c>
      <c r="F9" s="46">
        <v>1.48</v>
      </c>
      <c r="G9" s="14">
        <v>0.56999999999999995</v>
      </c>
      <c r="H9" s="14">
        <v>1.4</v>
      </c>
      <c r="I9" s="14">
        <v>0</v>
      </c>
      <c r="J9" s="14">
        <v>3.06</v>
      </c>
      <c r="K9" s="14">
        <v>4.92</v>
      </c>
      <c r="L9" s="14">
        <v>0</v>
      </c>
      <c r="M9" s="14">
        <v>2.4700000000000002</v>
      </c>
      <c r="N9" s="14">
        <v>0</v>
      </c>
      <c r="O9" s="47">
        <f>F9+G9+H9+I9+J9+K9+L9+M9+N9</f>
        <v>13.9</v>
      </c>
      <c r="P9" s="90">
        <v>1.21</v>
      </c>
      <c r="Q9" s="91"/>
      <c r="R9" s="15">
        <v>0</v>
      </c>
      <c r="S9" s="16">
        <f>F9+G9+H9+I9+J9+K9+M9+N9+P9</f>
        <v>15.11</v>
      </c>
    </row>
    <row r="10" spans="1:19" ht="15" x14ac:dyDescent="0.25">
      <c r="A10" s="17">
        <v>2016</v>
      </c>
      <c r="B10" s="7">
        <v>15</v>
      </c>
      <c r="C10" s="7">
        <v>3</v>
      </c>
      <c r="D10" s="7">
        <v>0</v>
      </c>
      <c r="E10" s="18">
        <f>SUM(B10:D10)</f>
        <v>18</v>
      </c>
      <c r="F10" s="52">
        <v>1.5</v>
      </c>
      <c r="G10" s="52">
        <v>0</v>
      </c>
      <c r="H10" s="52">
        <v>1.6</v>
      </c>
      <c r="I10" s="52">
        <v>0</v>
      </c>
      <c r="J10" s="52">
        <v>2.4</v>
      </c>
      <c r="K10" s="52">
        <v>5</v>
      </c>
      <c r="L10" s="52">
        <v>0</v>
      </c>
      <c r="M10" s="52">
        <v>2.5</v>
      </c>
      <c r="N10" s="52">
        <v>2</v>
      </c>
      <c r="O10" s="53">
        <f>SUM(F10:N10)</f>
        <v>15</v>
      </c>
      <c r="P10" s="54">
        <v>1.5</v>
      </c>
      <c r="Q10" s="54">
        <v>1.5</v>
      </c>
      <c r="R10" s="55">
        <v>0</v>
      </c>
      <c r="S10" s="19">
        <f>O10+P10+Q10</f>
        <v>18</v>
      </c>
    </row>
    <row r="11" spans="1:19" ht="22.5" x14ac:dyDescent="0.2">
      <c r="A11" s="92" t="s">
        <v>36</v>
      </c>
      <c r="B11" s="92"/>
      <c r="C11" s="92"/>
      <c r="D11" s="92"/>
      <c r="E11" s="20">
        <v>2121</v>
      </c>
      <c r="F11" s="93" t="s">
        <v>37</v>
      </c>
      <c r="G11" s="94"/>
      <c r="H11" s="94"/>
      <c r="I11" s="94"/>
      <c r="J11" s="94"/>
      <c r="K11" s="94"/>
      <c r="L11" s="94"/>
      <c r="M11" s="94"/>
      <c r="N11" s="95"/>
      <c r="O11" s="19"/>
      <c r="P11" s="96" t="s">
        <v>38</v>
      </c>
      <c r="Q11" s="97"/>
      <c r="R11" s="19" t="s">
        <v>39</v>
      </c>
      <c r="S11" s="19"/>
    </row>
    <row r="12" spans="1:19" x14ac:dyDescent="0.2">
      <c r="A12" s="82" t="s">
        <v>40</v>
      </c>
      <c r="B12" s="83"/>
      <c r="C12" s="83"/>
      <c r="D12" s="83"/>
      <c r="E12" s="84"/>
      <c r="F12" s="21">
        <f>E11*F10</f>
        <v>3181.5</v>
      </c>
      <c r="G12" s="21">
        <f>E11*G10</f>
        <v>0</v>
      </c>
      <c r="H12" s="21">
        <f>E11*H10</f>
        <v>3393.6000000000004</v>
      </c>
      <c r="I12" s="21">
        <f t="shared" ref="I12:S12" si="0">SUM(I10*2487)</f>
        <v>0</v>
      </c>
      <c r="J12" s="21">
        <f>E11*J10</f>
        <v>5090.3999999999996</v>
      </c>
      <c r="K12" s="21">
        <f>E11*K10</f>
        <v>10605</v>
      </c>
      <c r="L12" s="21">
        <f t="shared" si="0"/>
        <v>0</v>
      </c>
      <c r="M12" s="21">
        <f>E11*M10</f>
        <v>5302.5</v>
      </c>
      <c r="N12" s="21">
        <f t="shared" si="0"/>
        <v>4974</v>
      </c>
      <c r="O12" s="21">
        <f t="shared" si="0"/>
        <v>37305</v>
      </c>
      <c r="P12" s="21">
        <f>P10*E11</f>
        <v>3181.5</v>
      </c>
      <c r="Q12" s="21">
        <f>Q10*E11</f>
        <v>3181.5</v>
      </c>
      <c r="R12" s="21">
        <f t="shared" si="0"/>
        <v>0</v>
      </c>
      <c r="S12" s="21">
        <f t="shared" si="0"/>
        <v>44766</v>
      </c>
    </row>
    <row r="13" spans="1:19" x14ac:dyDescent="0.2">
      <c r="A13" s="98" t="s">
        <v>41</v>
      </c>
      <c r="B13" s="98"/>
      <c r="C13" s="98"/>
      <c r="D13" s="98"/>
      <c r="E13" s="99"/>
      <c r="F13" s="100" t="s">
        <v>42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2"/>
    </row>
    <row r="14" spans="1:19" x14ac:dyDescent="0.2">
      <c r="A14" s="103" t="s">
        <v>43</v>
      </c>
      <c r="B14" s="103"/>
      <c r="C14" s="103"/>
      <c r="D14" s="104"/>
      <c r="E14" s="22">
        <v>-53996.15</v>
      </c>
      <c r="F14" s="23"/>
      <c r="G14" s="24"/>
      <c r="H14" s="25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6"/>
    </row>
    <row r="15" spans="1:19" x14ac:dyDescent="0.2">
      <c r="A15" s="27" t="s">
        <v>44</v>
      </c>
      <c r="B15" s="28">
        <f>24836.35+10483</f>
        <v>35319.35</v>
      </c>
      <c r="C15" s="28">
        <f>9744.75+5955</f>
        <v>15699.75</v>
      </c>
      <c r="D15" s="28"/>
      <c r="E15" s="4">
        <f t="shared" ref="E15:E26" si="1">B15+C15</f>
        <v>51019.1</v>
      </c>
      <c r="F15" s="29">
        <f>E11*F10</f>
        <v>3181.5</v>
      </c>
      <c r="G15" s="29">
        <f>E11*G10</f>
        <v>0</v>
      </c>
      <c r="H15" s="30">
        <f>E11*H10</f>
        <v>3393.6000000000004</v>
      </c>
      <c r="I15" s="29">
        <v>0</v>
      </c>
      <c r="J15" s="29">
        <f>E11*J10</f>
        <v>5090.3999999999996</v>
      </c>
      <c r="K15" s="29">
        <f>E11*K10</f>
        <v>10605</v>
      </c>
      <c r="L15" s="29">
        <v>0</v>
      </c>
      <c r="M15" s="29">
        <f>E11*M10</f>
        <v>5302.5</v>
      </c>
      <c r="N15" s="29">
        <v>1280</v>
      </c>
      <c r="O15" s="45">
        <f t="shared" ref="O15:O26" si="2">SUM(F15:N15)</f>
        <v>28853</v>
      </c>
      <c r="P15" s="31">
        <v>0</v>
      </c>
      <c r="Q15" s="31">
        <v>35480</v>
      </c>
      <c r="R15" s="29">
        <v>0</v>
      </c>
      <c r="S15" s="32">
        <f t="shared" ref="S15:S26" si="3">O15+P15+Q15+R15</f>
        <v>64333</v>
      </c>
    </row>
    <row r="16" spans="1:19" x14ac:dyDescent="0.2">
      <c r="A16" s="27" t="s">
        <v>45</v>
      </c>
      <c r="B16" s="28">
        <f>9694.1+5634.7</f>
        <v>15328.8</v>
      </c>
      <c r="C16" s="28">
        <f>3728.5+1773.5</f>
        <v>5502</v>
      </c>
      <c r="D16" s="28"/>
      <c r="E16" s="4">
        <f t="shared" si="1"/>
        <v>20830.8</v>
      </c>
      <c r="F16" s="29">
        <v>3181.5</v>
      </c>
      <c r="G16" s="29">
        <v>0</v>
      </c>
      <c r="H16" s="30">
        <v>3393.6</v>
      </c>
      <c r="I16" s="29">
        <v>0</v>
      </c>
      <c r="J16" s="29">
        <v>5090.3999999999996</v>
      </c>
      <c r="K16" s="29">
        <v>10605</v>
      </c>
      <c r="L16" s="29">
        <v>0</v>
      </c>
      <c r="M16" s="29">
        <v>5302.5</v>
      </c>
      <c r="N16" s="29">
        <v>400</v>
      </c>
      <c r="O16" s="45">
        <f t="shared" si="2"/>
        <v>27973</v>
      </c>
      <c r="P16" s="31">
        <v>0</v>
      </c>
      <c r="Q16" s="31">
        <v>7083</v>
      </c>
      <c r="R16" s="29">
        <v>0</v>
      </c>
      <c r="S16" s="32">
        <f t="shared" si="3"/>
        <v>35056</v>
      </c>
    </row>
    <row r="17" spans="1:19" x14ac:dyDescent="0.2">
      <c r="A17" s="27" t="s">
        <v>6</v>
      </c>
      <c r="B17" s="28">
        <f>26804.73+4488</f>
        <v>31292.73</v>
      </c>
      <c r="C17" s="28">
        <f>9839.5+1726</f>
        <v>11565.5</v>
      </c>
      <c r="D17" s="28"/>
      <c r="E17" s="4">
        <f t="shared" si="1"/>
        <v>42858.229999999996</v>
      </c>
      <c r="F17" s="29">
        <v>3181.5</v>
      </c>
      <c r="G17" s="29">
        <v>0</v>
      </c>
      <c r="H17" s="30">
        <v>3393.6</v>
      </c>
      <c r="I17" s="29">
        <v>0</v>
      </c>
      <c r="J17" s="29">
        <v>5090.3999999999996</v>
      </c>
      <c r="K17" s="29">
        <v>10605</v>
      </c>
      <c r="L17" s="29"/>
      <c r="M17" s="29">
        <v>5302.5</v>
      </c>
      <c r="N17" s="29">
        <v>0</v>
      </c>
      <c r="O17" s="45">
        <f t="shared" si="2"/>
        <v>27573</v>
      </c>
      <c r="P17" s="31">
        <v>0</v>
      </c>
      <c r="Q17" s="31">
        <v>0</v>
      </c>
      <c r="R17" s="29">
        <v>0</v>
      </c>
      <c r="S17" s="32">
        <f t="shared" si="3"/>
        <v>27573</v>
      </c>
    </row>
    <row r="18" spans="1:19" x14ac:dyDescent="0.2">
      <c r="A18" s="27" t="s">
        <v>46</v>
      </c>
      <c r="B18" s="28">
        <f>19046.37+5679.7</f>
        <v>24726.07</v>
      </c>
      <c r="C18" s="28">
        <f>7834+2184.5</f>
        <v>10018.5</v>
      </c>
      <c r="D18" s="28"/>
      <c r="E18" s="4">
        <f t="shared" si="1"/>
        <v>34744.57</v>
      </c>
      <c r="F18" s="29">
        <v>3181.5</v>
      </c>
      <c r="G18" s="29">
        <v>0</v>
      </c>
      <c r="H18" s="30">
        <v>3393.6</v>
      </c>
      <c r="I18" s="29">
        <v>0</v>
      </c>
      <c r="J18" s="29">
        <v>5090.3999999999996</v>
      </c>
      <c r="K18" s="29">
        <v>10605</v>
      </c>
      <c r="L18" s="29"/>
      <c r="M18" s="29">
        <v>5302.5</v>
      </c>
      <c r="N18" s="29">
        <v>2592</v>
      </c>
      <c r="O18" s="45">
        <f t="shared" si="2"/>
        <v>30165</v>
      </c>
      <c r="P18" s="31">
        <v>0</v>
      </c>
      <c r="Q18" s="31">
        <v>0</v>
      </c>
      <c r="R18" s="29">
        <v>0</v>
      </c>
      <c r="S18" s="32">
        <f t="shared" si="3"/>
        <v>30165</v>
      </c>
    </row>
    <row r="19" spans="1:19" x14ac:dyDescent="0.2">
      <c r="A19" s="27" t="s">
        <v>13</v>
      </c>
      <c r="B19" s="28">
        <f>19052.8+5792.4</f>
        <v>24845.199999999997</v>
      </c>
      <c r="C19" s="28">
        <f>7328+2228</f>
        <v>9556</v>
      </c>
      <c r="D19" s="28"/>
      <c r="E19" s="4">
        <f t="shared" si="1"/>
        <v>34401.199999999997</v>
      </c>
      <c r="F19" s="29">
        <v>3181.5</v>
      </c>
      <c r="G19" s="29">
        <v>0</v>
      </c>
      <c r="H19" s="30">
        <v>3393.6</v>
      </c>
      <c r="I19" s="29">
        <v>0</v>
      </c>
      <c r="J19" s="29">
        <v>5090.3999999999996</v>
      </c>
      <c r="K19" s="29">
        <v>10605</v>
      </c>
      <c r="L19" s="29"/>
      <c r="M19" s="29">
        <v>5302.5</v>
      </c>
      <c r="N19" s="29">
        <v>1924</v>
      </c>
      <c r="O19" s="45">
        <f t="shared" si="2"/>
        <v>29497</v>
      </c>
      <c r="P19" s="31">
        <v>0</v>
      </c>
      <c r="Q19" s="31">
        <v>14161</v>
      </c>
      <c r="R19" s="29">
        <v>0</v>
      </c>
      <c r="S19" s="32">
        <f t="shared" si="3"/>
        <v>43658</v>
      </c>
    </row>
    <row r="20" spans="1:19" x14ac:dyDescent="0.2">
      <c r="A20" s="27" t="s">
        <v>8</v>
      </c>
      <c r="B20" s="28">
        <f>16181.1+5504.2</f>
        <v>21685.3</v>
      </c>
      <c r="C20" s="28">
        <f>6449+2117</f>
        <v>8566</v>
      </c>
      <c r="D20" s="28"/>
      <c r="E20" s="4">
        <f t="shared" si="1"/>
        <v>30251.3</v>
      </c>
      <c r="F20" s="29">
        <v>3181.5</v>
      </c>
      <c r="G20" s="29">
        <v>0</v>
      </c>
      <c r="H20" s="30">
        <v>3393.6</v>
      </c>
      <c r="I20" s="29">
        <v>0</v>
      </c>
      <c r="J20" s="29">
        <v>5090.3999999999996</v>
      </c>
      <c r="K20" s="29">
        <v>10605</v>
      </c>
      <c r="L20" s="29"/>
      <c r="M20" s="29">
        <v>5302.5</v>
      </c>
      <c r="N20" s="29">
        <v>0</v>
      </c>
      <c r="O20" s="45">
        <f t="shared" si="2"/>
        <v>27573</v>
      </c>
      <c r="P20" s="31">
        <v>0</v>
      </c>
      <c r="Q20" s="31">
        <v>0</v>
      </c>
      <c r="R20" s="29">
        <v>0</v>
      </c>
      <c r="S20" s="32">
        <f t="shared" si="3"/>
        <v>27573</v>
      </c>
    </row>
    <row r="21" spans="1:19" x14ac:dyDescent="0.2">
      <c r="A21" s="27" t="s">
        <v>7</v>
      </c>
      <c r="B21" s="28">
        <f>19292.62+4851</f>
        <v>24143.62</v>
      </c>
      <c r="C21" s="28">
        <f>7420+1866</f>
        <v>9286</v>
      </c>
      <c r="D21" s="28"/>
      <c r="E21" s="4">
        <f t="shared" si="1"/>
        <v>33429.619999999995</v>
      </c>
      <c r="F21" s="29">
        <v>3181.5</v>
      </c>
      <c r="G21" s="29">
        <v>0</v>
      </c>
      <c r="H21" s="30">
        <v>3393.6</v>
      </c>
      <c r="I21" s="29">
        <v>0</v>
      </c>
      <c r="J21" s="29">
        <v>5090.3999999999996</v>
      </c>
      <c r="K21" s="29">
        <v>10605</v>
      </c>
      <c r="L21" s="29"/>
      <c r="M21" s="29">
        <v>5302.5</v>
      </c>
      <c r="N21" s="29">
        <v>0</v>
      </c>
      <c r="O21" s="45">
        <f t="shared" si="2"/>
        <v>27573</v>
      </c>
      <c r="P21" s="31">
        <v>0</v>
      </c>
      <c r="Q21" s="31">
        <v>0</v>
      </c>
      <c r="R21" s="29">
        <v>0</v>
      </c>
      <c r="S21" s="32">
        <f t="shared" si="3"/>
        <v>27573</v>
      </c>
    </row>
    <row r="22" spans="1:19" x14ac:dyDescent="0.2">
      <c r="A22" s="27" t="s">
        <v>9</v>
      </c>
      <c r="B22" s="28">
        <f>21269.68+1955.2</f>
        <v>23224.880000000001</v>
      </c>
      <c r="C22" s="28">
        <f>8180.5+752</f>
        <v>8932.5</v>
      </c>
      <c r="D22" s="28"/>
      <c r="E22" s="4">
        <f t="shared" si="1"/>
        <v>32157.38</v>
      </c>
      <c r="F22" s="29">
        <v>3181.5</v>
      </c>
      <c r="G22" s="29">
        <v>0</v>
      </c>
      <c r="H22" s="30">
        <v>3393.6</v>
      </c>
      <c r="I22" s="29">
        <v>0</v>
      </c>
      <c r="J22" s="29">
        <v>5090.3999999999996</v>
      </c>
      <c r="K22" s="29">
        <v>10605</v>
      </c>
      <c r="L22" s="29"/>
      <c r="M22" s="29">
        <v>5302.5</v>
      </c>
      <c r="N22" s="29">
        <v>1924</v>
      </c>
      <c r="O22" s="45">
        <f t="shared" si="2"/>
        <v>29497</v>
      </c>
      <c r="P22" s="31">
        <f>410+9158</f>
        <v>9568</v>
      </c>
      <c r="Q22" s="31">
        <v>0</v>
      </c>
      <c r="R22" s="29">
        <v>0</v>
      </c>
      <c r="S22" s="32">
        <f t="shared" si="3"/>
        <v>39065</v>
      </c>
    </row>
    <row r="23" spans="1:19" x14ac:dyDescent="0.2">
      <c r="A23" s="27" t="s">
        <v>47</v>
      </c>
      <c r="B23" s="28">
        <f>25626.9+1182.78</f>
        <v>26809.68</v>
      </c>
      <c r="C23" s="28">
        <f>9982.5+455</f>
        <v>10437.5</v>
      </c>
      <c r="D23" s="28"/>
      <c r="E23" s="4">
        <f t="shared" si="1"/>
        <v>37247.18</v>
      </c>
      <c r="F23" s="29">
        <v>3181.5</v>
      </c>
      <c r="G23" s="29">
        <v>0</v>
      </c>
      <c r="H23" s="30">
        <v>3393.6</v>
      </c>
      <c r="I23" s="29">
        <v>0</v>
      </c>
      <c r="J23" s="29">
        <v>5090.3999999999996</v>
      </c>
      <c r="K23" s="29">
        <v>10605</v>
      </c>
      <c r="L23" s="29"/>
      <c r="M23" s="29">
        <v>5302.5</v>
      </c>
      <c r="N23" s="29">
        <v>2200</v>
      </c>
      <c r="O23" s="45">
        <f t="shared" si="2"/>
        <v>29773</v>
      </c>
      <c r="P23" s="31">
        <v>0</v>
      </c>
      <c r="Q23" s="31">
        <v>0</v>
      </c>
      <c r="R23" s="29">
        <v>0</v>
      </c>
      <c r="S23" s="32">
        <f t="shared" si="3"/>
        <v>29773</v>
      </c>
    </row>
    <row r="24" spans="1:19" x14ac:dyDescent="0.2">
      <c r="A24" s="27" t="s">
        <v>48</v>
      </c>
      <c r="B24" s="28">
        <f>17175.4+2943.2</f>
        <v>20118.600000000002</v>
      </c>
      <c r="C24" s="28">
        <f>6603+1132</f>
        <v>7735</v>
      </c>
      <c r="D24" s="28"/>
      <c r="E24" s="4">
        <f t="shared" si="1"/>
        <v>27853.600000000002</v>
      </c>
      <c r="F24" s="29">
        <v>3181.5</v>
      </c>
      <c r="G24" s="29">
        <v>0</v>
      </c>
      <c r="H24" s="30">
        <v>3393.6</v>
      </c>
      <c r="I24" s="29">
        <v>0</v>
      </c>
      <c r="J24" s="29">
        <v>5090.3999999999996</v>
      </c>
      <c r="K24" s="29">
        <v>10605</v>
      </c>
      <c r="L24" s="29"/>
      <c r="M24" s="29">
        <v>5302.5</v>
      </c>
      <c r="N24" s="29">
        <v>67.37</v>
      </c>
      <c r="O24" s="45">
        <f t="shared" si="2"/>
        <v>27640.37</v>
      </c>
      <c r="P24" s="31">
        <v>1536</v>
      </c>
      <c r="Q24" s="31">
        <v>0</v>
      </c>
      <c r="R24" s="29">
        <v>0</v>
      </c>
      <c r="S24" s="32">
        <f t="shared" si="3"/>
        <v>29176.37</v>
      </c>
    </row>
    <row r="25" spans="1:19" x14ac:dyDescent="0.2">
      <c r="A25" s="27" t="s">
        <v>49</v>
      </c>
      <c r="B25" s="28">
        <f>17774.9+2048.8</f>
        <v>19823.7</v>
      </c>
      <c r="C25" s="28">
        <f>6836.5+788</f>
        <v>7624.5</v>
      </c>
      <c r="D25" s="28"/>
      <c r="E25" s="4">
        <f t="shared" si="1"/>
        <v>27448.2</v>
      </c>
      <c r="F25" s="29">
        <v>3181.5</v>
      </c>
      <c r="G25" s="29">
        <v>0</v>
      </c>
      <c r="H25" s="30">
        <v>3393.6</v>
      </c>
      <c r="I25" s="29">
        <v>0</v>
      </c>
      <c r="J25" s="29">
        <v>5090.3999999999996</v>
      </c>
      <c r="K25" s="29">
        <v>10605</v>
      </c>
      <c r="L25" s="29">
        <v>10605</v>
      </c>
      <c r="M25" s="29">
        <v>5302.5</v>
      </c>
      <c r="N25" s="29">
        <v>0</v>
      </c>
      <c r="O25" s="45">
        <f t="shared" si="2"/>
        <v>38178</v>
      </c>
      <c r="P25" s="31">
        <v>0</v>
      </c>
      <c r="Q25" s="31">
        <v>0</v>
      </c>
      <c r="R25" s="29">
        <v>0</v>
      </c>
      <c r="S25" s="32">
        <f t="shared" si="3"/>
        <v>38178</v>
      </c>
    </row>
    <row r="26" spans="1:19" x14ac:dyDescent="0.2">
      <c r="A26" s="27" t="s">
        <v>50</v>
      </c>
      <c r="B26" s="28">
        <f>24934+3337.1</f>
        <v>28271.1</v>
      </c>
      <c r="C26" s="28">
        <f>9841.12+1283.5</f>
        <v>11124.62</v>
      </c>
      <c r="D26" s="28"/>
      <c r="E26" s="4">
        <f t="shared" si="1"/>
        <v>39395.72</v>
      </c>
      <c r="F26" s="29">
        <v>3181.5</v>
      </c>
      <c r="G26" s="29">
        <v>0</v>
      </c>
      <c r="H26" s="30">
        <v>3393.6</v>
      </c>
      <c r="I26" s="29">
        <v>0</v>
      </c>
      <c r="J26" s="29">
        <v>5090.3999999999996</v>
      </c>
      <c r="K26" s="29">
        <v>10605</v>
      </c>
      <c r="L26" s="29"/>
      <c r="M26" s="29">
        <v>5302.5</v>
      </c>
      <c r="N26" s="29">
        <v>0</v>
      </c>
      <c r="O26" s="45">
        <f t="shared" si="2"/>
        <v>27573</v>
      </c>
      <c r="P26" s="31">
        <v>0</v>
      </c>
      <c r="Q26" s="31">
        <v>0</v>
      </c>
      <c r="R26" s="29">
        <v>0</v>
      </c>
      <c r="S26" s="32">
        <f t="shared" si="3"/>
        <v>27573</v>
      </c>
    </row>
    <row r="27" spans="1:19" ht="48" x14ac:dyDescent="0.2">
      <c r="A27" s="33" t="s">
        <v>51</v>
      </c>
      <c r="B27" s="28">
        <v>0</v>
      </c>
      <c r="C27" s="28">
        <v>0</v>
      </c>
      <c r="D27" s="28">
        <v>0</v>
      </c>
      <c r="E27" s="28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45"/>
      <c r="P27" s="31"/>
      <c r="Q27" s="31"/>
      <c r="R27" s="29"/>
      <c r="S27" s="32"/>
    </row>
    <row r="28" spans="1:19" x14ac:dyDescent="0.2">
      <c r="A28" s="34" t="s">
        <v>2</v>
      </c>
      <c r="B28" s="35">
        <f>SUM(B15:B27)</f>
        <v>295589.02999999991</v>
      </c>
      <c r="C28" s="56">
        <f>SUM(C15:C27)</f>
        <v>116047.87</v>
      </c>
      <c r="D28" s="35"/>
      <c r="E28" s="35">
        <f>SUM(E14:E27)</f>
        <v>357640.75</v>
      </c>
      <c r="F28" s="35">
        <f t="shared" ref="F28:K28" si="4">SUM(F15:F27)</f>
        <v>38178</v>
      </c>
      <c r="G28" s="35">
        <f t="shared" si="4"/>
        <v>0</v>
      </c>
      <c r="H28" s="35">
        <f t="shared" si="4"/>
        <v>40723.19999999999</v>
      </c>
      <c r="I28" s="35">
        <f t="shared" si="4"/>
        <v>0</v>
      </c>
      <c r="J28" s="35">
        <f t="shared" si="4"/>
        <v>61084.80000000001</v>
      </c>
      <c r="K28" s="35">
        <f t="shared" si="4"/>
        <v>127260</v>
      </c>
      <c r="L28" s="35"/>
      <c r="M28" s="35">
        <f t="shared" ref="M28:S28" si="5">SUM(M15:M27)</f>
        <v>63630</v>
      </c>
      <c r="N28" s="35">
        <f t="shared" si="5"/>
        <v>10387.370000000001</v>
      </c>
      <c r="O28" s="35">
        <f t="shared" si="5"/>
        <v>351868.37</v>
      </c>
      <c r="P28" s="35">
        <f t="shared" si="5"/>
        <v>11104</v>
      </c>
      <c r="Q28" s="35">
        <f t="shared" si="5"/>
        <v>56724</v>
      </c>
      <c r="R28" s="35">
        <f t="shared" si="5"/>
        <v>0</v>
      </c>
      <c r="S28" s="36">
        <f t="shared" si="5"/>
        <v>419696.37</v>
      </c>
    </row>
    <row r="29" spans="1:19" x14ac:dyDescent="0.2">
      <c r="A29" s="48"/>
      <c r="B29" s="49" t="s">
        <v>14</v>
      </c>
      <c r="C29" s="49" t="s">
        <v>73</v>
      </c>
      <c r="D29" s="49"/>
      <c r="E29" s="49" t="s">
        <v>74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0" t="s">
        <v>72</v>
      </c>
      <c r="R29" s="116">
        <f>E28-S28</f>
        <v>-62055.619999999995</v>
      </c>
      <c r="S29" s="116"/>
    </row>
    <row r="30" spans="1:19" x14ac:dyDescent="0.2">
      <c r="A30" s="48"/>
      <c r="B30" s="49" t="s">
        <v>12</v>
      </c>
      <c r="C30" s="49" t="s">
        <v>75</v>
      </c>
      <c r="D30" s="49"/>
      <c r="E30" s="49" t="s">
        <v>76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  <c r="R30" s="51"/>
      <c r="S30" s="51"/>
    </row>
    <row r="31" spans="1:19" x14ac:dyDescent="0.2">
      <c r="A31" s="48"/>
      <c r="B31" s="49" t="s">
        <v>4</v>
      </c>
      <c r="C31" s="49" t="s">
        <v>77</v>
      </c>
      <c r="D31" s="49"/>
      <c r="E31" s="49" t="s">
        <v>17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1"/>
    </row>
    <row r="32" spans="1:19" x14ac:dyDescent="0.2">
      <c r="C32" s="49" t="s">
        <v>78</v>
      </c>
      <c r="E32" s="49" t="s">
        <v>79</v>
      </c>
      <c r="P32" s="3"/>
      <c r="Q32" s="3"/>
    </row>
    <row r="33" spans="1:19" x14ac:dyDescent="0.2">
      <c r="B33" s="49" t="s">
        <v>13</v>
      </c>
      <c r="C33" s="49" t="s">
        <v>80</v>
      </c>
      <c r="E33" s="49" t="s">
        <v>81</v>
      </c>
    </row>
    <row r="34" spans="1:19" x14ac:dyDescent="0.2">
      <c r="B34" s="49" t="s">
        <v>9</v>
      </c>
      <c r="C34" s="49" t="s">
        <v>80</v>
      </c>
      <c r="E34" s="49" t="s">
        <v>81</v>
      </c>
    </row>
    <row r="35" spans="1:19" x14ac:dyDescent="0.2">
      <c r="B35" s="49" t="s">
        <v>10</v>
      </c>
      <c r="C35" s="49" t="s">
        <v>15</v>
      </c>
      <c r="E35" s="49" t="s">
        <v>16</v>
      </c>
    </row>
    <row r="36" spans="1:19" x14ac:dyDescent="0.2">
      <c r="B36" s="49" t="s">
        <v>11</v>
      </c>
      <c r="C36" s="49" t="s">
        <v>82</v>
      </c>
      <c r="E36" s="49" t="s">
        <v>83</v>
      </c>
    </row>
    <row r="37" spans="1:19" x14ac:dyDescent="0.2">
      <c r="C37" s="49"/>
      <c r="E37" s="49"/>
      <c r="K37" s="117"/>
      <c r="L37" s="117"/>
      <c r="M37" s="117"/>
      <c r="N37" s="117"/>
      <c r="O37" s="117"/>
    </row>
    <row r="38" spans="1:19" ht="15" x14ac:dyDescent="0.25">
      <c r="A38" s="105" t="s">
        <v>52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 x14ac:dyDescent="0.2">
      <c r="A39" s="106" t="s">
        <v>53</v>
      </c>
      <c r="B39" s="106"/>
      <c r="C39" s="107" t="s">
        <v>3</v>
      </c>
      <c r="D39" s="107"/>
      <c r="E39" s="107"/>
      <c r="F39" s="107"/>
      <c r="G39" s="107"/>
      <c r="H39" s="107"/>
      <c r="I39" s="107"/>
      <c r="J39" s="107"/>
      <c r="K39" s="107"/>
      <c r="L39" s="108" t="s">
        <v>54</v>
      </c>
      <c r="M39" s="109"/>
      <c r="N39" s="110"/>
      <c r="O39" s="106" t="s">
        <v>55</v>
      </c>
      <c r="P39" s="114"/>
      <c r="Q39" s="106" t="s">
        <v>56</v>
      </c>
      <c r="R39" s="106"/>
      <c r="S39" s="114" t="s">
        <v>57</v>
      </c>
    </row>
    <row r="40" spans="1:19" x14ac:dyDescent="0.2">
      <c r="A40" s="106"/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11"/>
      <c r="M40" s="112"/>
      <c r="N40" s="113"/>
      <c r="O40" s="106"/>
      <c r="P40" s="115"/>
      <c r="Q40" s="106"/>
      <c r="R40" s="106"/>
      <c r="S40" s="115"/>
    </row>
    <row r="41" spans="1:19" x14ac:dyDescent="0.2">
      <c r="A41" s="125"/>
      <c r="B41" s="126"/>
      <c r="C41" s="118" t="s">
        <v>58</v>
      </c>
      <c r="D41" s="119"/>
      <c r="E41" s="119"/>
      <c r="F41" s="119"/>
      <c r="G41" s="119"/>
      <c r="H41" s="119"/>
      <c r="I41" s="119"/>
      <c r="J41" s="119"/>
      <c r="K41" s="120"/>
      <c r="L41" s="121"/>
      <c r="M41" s="122"/>
      <c r="N41" s="123"/>
      <c r="O41" s="37"/>
      <c r="P41" s="37"/>
      <c r="Q41" s="124"/>
      <c r="R41" s="124"/>
      <c r="S41" s="37"/>
    </row>
    <row r="42" spans="1:19" x14ac:dyDescent="0.2">
      <c r="A42" s="125"/>
      <c r="B42" s="126"/>
      <c r="C42" s="118" t="s">
        <v>59</v>
      </c>
      <c r="D42" s="119"/>
      <c r="E42" s="119"/>
      <c r="F42" s="119"/>
      <c r="G42" s="119"/>
      <c r="H42" s="119"/>
      <c r="I42" s="119"/>
      <c r="J42" s="119"/>
      <c r="K42" s="120"/>
      <c r="L42" s="127" t="s">
        <v>60</v>
      </c>
      <c r="M42" s="128"/>
      <c r="N42" s="129"/>
      <c r="O42" s="38">
        <v>0.05</v>
      </c>
      <c r="P42" s="39"/>
      <c r="Q42" s="59">
        <f>SUM(O42*2487*12)</f>
        <v>1492.2</v>
      </c>
      <c r="R42" s="59"/>
      <c r="S42" s="38"/>
    </row>
    <row r="43" spans="1:19" x14ac:dyDescent="0.2">
      <c r="A43" s="125"/>
      <c r="B43" s="126"/>
      <c r="C43" s="118" t="s">
        <v>61</v>
      </c>
      <c r="D43" s="119"/>
      <c r="E43" s="119"/>
      <c r="F43" s="119"/>
      <c r="G43" s="119"/>
      <c r="H43" s="119"/>
      <c r="I43" s="119"/>
      <c r="J43" s="119"/>
      <c r="K43" s="120"/>
      <c r="L43" s="127" t="s">
        <v>60</v>
      </c>
      <c r="M43" s="128"/>
      <c r="N43" s="129"/>
      <c r="O43" s="38">
        <v>0.05</v>
      </c>
      <c r="P43" s="39"/>
      <c r="Q43" s="59">
        <f t="shared" ref="Q43:Q49" si="6">SUM(O43*2487*12)</f>
        <v>1492.2</v>
      </c>
      <c r="R43" s="59"/>
      <c r="S43" s="38"/>
    </row>
    <row r="44" spans="1:19" x14ac:dyDescent="0.2">
      <c r="A44" s="125"/>
      <c r="B44" s="126"/>
      <c r="C44" s="118" t="s">
        <v>62</v>
      </c>
      <c r="D44" s="119"/>
      <c r="E44" s="119"/>
      <c r="F44" s="119"/>
      <c r="G44" s="119"/>
      <c r="H44" s="119"/>
      <c r="I44" s="119"/>
      <c r="J44" s="119"/>
      <c r="K44" s="120"/>
      <c r="L44" s="127" t="s">
        <v>63</v>
      </c>
      <c r="M44" s="128"/>
      <c r="N44" s="129"/>
      <c r="O44" s="38">
        <v>0.15</v>
      </c>
      <c r="P44" s="39"/>
      <c r="Q44" s="59">
        <f t="shared" si="6"/>
        <v>4476.6000000000004</v>
      </c>
      <c r="R44" s="59"/>
      <c r="S44" s="38"/>
    </row>
    <row r="45" spans="1:19" x14ac:dyDescent="0.2">
      <c r="A45" s="57"/>
      <c r="B45" s="58"/>
      <c r="C45" s="130" t="s">
        <v>64</v>
      </c>
      <c r="D45" s="131"/>
      <c r="E45" s="131"/>
      <c r="F45" s="131"/>
      <c r="G45" s="131"/>
      <c r="H45" s="131"/>
      <c r="I45" s="131"/>
      <c r="J45" s="131"/>
      <c r="K45" s="132"/>
      <c r="L45" s="127" t="s">
        <v>60</v>
      </c>
      <c r="M45" s="128"/>
      <c r="N45" s="129"/>
      <c r="O45" s="2">
        <v>0.15</v>
      </c>
      <c r="P45" s="2"/>
      <c r="Q45" s="59">
        <f t="shared" si="6"/>
        <v>4476.6000000000004</v>
      </c>
      <c r="R45" s="59"/>
      <c r="S45" s="2"/>
    </row>
    <row r="46" spans="1:19" x14ac:dyDescent="0.2">
      <c r="A46" s="59"/>
      <c r="B46" s="59"/>
      <c r="C46" s="133" t="s">
        <v>65</v>
      </c>
      <c r="D46" s="134"/>
      <c r="E46" s="134"/>
      <c r="F46" s="134"/>
      <c r="G46" s="134"/>
      <c r="H46" s="134"/>
      <c r="I46" s="134"/>
      <c r="J46" s="134"/>
      <c r="K46" s="135"/>
      <c r="L46" s="136" t="s">
        <v>66</v>
      </c>
      <c r="M46" s="137"/>
      <c r="N46" s="138"/>
      <c r="O46" s="2">
        <v>0.25</v>
      </c>
      <c r="P46" s="2"/>
      <c r="Q46" s="59">
        <f t="shared" si="6"/>
        <v>7461</v>
      </c>
      <c r="R46" s="59"/>
      <c r="S46" s="2"/>
    </row>
    <row r="47" spans="1:19" x14ac:dyDescent="0.2">
      <c r="A47" s="57"/>
      <c r="B47" s="58"/>
      <c r="C47" s="133" t="s">
        <v>67</v>
      </c>
      <c r="D47" s="134"/>
      <c r="E47" s="134"/>
      <c r="F47" s="134"/>
      <c r="G47" s="134"/>
      <c r="H47" s="134"/>
      <c r="I47" s="134"/>
      <c r="J47" s="134"/>
      <c r="K47" s="135"/>
      <c r="L47" s="136" t="s">
        <v>66</v>
      </c>
      <c r="M47" s="137"/>
      <c r="N47" s="138"/>
      <c r="O47" s="2">
        <v>0.1</v>
      </c>
      <c r="P47" s="40"/>
      <c r="Q47" s="59">
        <f t="shared" si="6"/>
        <v>2984.4</v>
      </c>
      <c r="R47" s="59"/>
      <c r="S47" s="2"/>
    </row>
    <row r="48" spans="1:19" x14ac:dyDescent="0.2">
      <c r="A48" s="59"/>
      <c r="B48" s="59"/>
      <c r="C48" s="130" t="s">
        <v>68</v>
      </c>
      <c r="D48" s="131"/>
      <c r="E48" s="131"/>
      <c r="F48" s="131"/>
      <c r="G48" s="131"/>
      <c r="H48" s="131"/>
      <c r="I48" s="131"/>
      <c r="J48" s="131"/>
      <c r="K48" s="132"/>
      <c r="L48" s="136" t="s">
        <v>66</v>
      </c>
      <c r="M48" s="137"/>
      <c r="N48" s="138"/>
      <c r="O48" s="2">
        <v>0.25</v>
      </c>
      <c r="P48" s="2"/>
      <c r="Q48" s="59">
        <f t="shared" si="6"/>
        <v>7461</v>
      </c>
      <c r="R48" s="59"/>
      <c r="S48" s="2"/>
    </row>
    <row r="49" spans="1:19" x14ac:dyDescent="0.2">
      <c r="A49" s="41"/>
      <c r="B49" s="5"/>
      <c r="C49" s="143" t="s">
        <v>69</v>
      </c>
      <c r="D49" s="143"/>
      <c r="E49" s="143"/>
      <c r="F49" s="143"/>
      <c r="G49" s="143"/>
      <c r="H49" s="143"/>
      <c r="I49" s="143"/>
      <c r="J49" s="143"/>
      <c r="K49" s="143"/>
      <c r="L49" s="127" t="s">
        <v>60</v>
      </c>
      <c r="M49" s="128"/>
      <c r="N49" s="129"/>
      <c r="O49" s="1">
        <v>1</v>
      </c>
      <c r="P49" s="42"/>
      <c r="Q49" s="59">
        <f t="shared" si="6"/>
        <v>29844</v>
      </c>
      <c r="R49" s="59"/>
      <c r="S49" s="2"/>
    </row>
    <row r="50" spans="1:19" x14ac:dyDescent="0.2">
      <c r="E50" s="139" t="s">
        <v>70</v>
      </c>
      <c r="F50" s="140"/>
      <c r="G50" s="140"/>
      <c r="H50" s="140"/>
      <c r="I50" s="140"/>
      <c r="J50" s="140"/>
      <c r="K50" s="140"/>
      <c r="L50" s="140"/>
      <c r="M50" s="140"/>
      <c r="N50" s="141"/>
      <c r="O50" s="43">
        <f>SUM(O42:O49)</f>
        <v>2</v>
      </c>
      <c r="P50" s="44"/>
      <c r="Q50" s="142">
        <f>SUM(Q42:Q49)</f>
        <v>59688</v>
      </c>
      <c r="R50" s="142"/>
      <c r="S50" s="2"/>
    </row>
  </sheetData>
  <mergeCells count="78">
    <mergeCell ref="E50:N50"/>
    <mergeCell ref="Q50:R50"/>
    <mergeCell ref="A48:B48"/>
    <mergeCell ref="C48:K48"/>
    <mergeCell ref="L48:N48"/>
    <mergeCell ref="Q48:R48"/>
    <mergeCell ref="C49:K49"/>
    <mergeCell ref="L49:N49"/>
    <mergeCell ref="Q49:R49"/>
    <mergeCell ref="A46:B46"/>
    <mergeCell ref="C46:K46"/>
    <mergeCell ref="L46:N46"/>
    <mergeCell ref="Q46:R46"/>
    <mergeCell ref="A47:B47"/>
    <mergeCell ref="C47:K47"/>
    <mergeCell ref="L47:N47"/>
    <mergeCell ref="Q47:R47"/>
    <mergeCell ref="A44:B44"/>
    <mergeCell ref="C44:K44"/>
    <mergeCell ref="L44:N44"/>
    <mergeCell ref="Q44:R44"/>
    <mergeCell ref="A45:B45"/>
    <mergeCell ref="C45:K45"/>
    <mergeCell ref="L45:N45"/>
    <mergeCell ref="Q45:R45"/>
    <mergeCell ref="C41:K41"/>
    <mergeCell ref="L41:N41"/>
    <mergeCell ref="Q41:R41"/>
    <mergeCell ref="A43:B43"/>
    <mergeCell ref="C43:K43"/>
    <mergeCell ref="L43:N43"/>
    <mergeCell ref="Q43:R43"/>
    <mergeCell ref="A42:B42"/>
    <mergeCell ref="C42:K42"/>
    <mergeCell ref="L42:N42"/>
    <mergeCell ref="Q42:R42"/>
    <mergeCell ref="A41:B41"/>
    <mergeCell ref="A13:E13"/>
    <mergeCell ref="F13:S13"/>
    <mergeCell ref="A14:D14"/>
    <mergeCell ref="A38:S38"/>
    <mergeCell ref="A39:B40"/>
    <mergeCell ref="C39:K40"/>
    <mergeCell ref="L39:N40"/>
    <mergeCell ref="O39:O40"/>
    <mergeCell ref="P39:P40"/>
    <mergeCell ref="Q39:R40"/>
    <mergeCell ref="S39:S40"/>
    <mergeCell ref="R29:S29"/>
    <mergeCell ref="K37:O37"/>
    <mergeCell ref="P9:Q9"/>
    <mergeCell ref="A11:D11"/>
    <mergeCell ref="F11:N11"/>
    <mergeCell ref="P11:Q11"/>
    <mergeCell ref="M7:M8"/>
    <mergeCell ref="N7:N8"/>
    <mergeCell ref="A12:E12"/>
    <mergeCell ref="I7:I8"/>
    <mergeCell ref="J7:J8"/>
    <mergeCell ref="K7:K8"/>
    <mergeCell ref="L7:L8"/>
    <mergeCell ref="C7:C8"/>
    <mergeCell ref="D7:D8"/>
    <mergeCell ref="E7:E8"/>
    <mergeCell ref="F7:F8"/>
    <mergeCell ref="G7:G8"/>
    <mergeCell ref="H7:H8"/>
    <mergeCell ref="A3:S3"/>
    <mergeCell ref="A4:S4"/>
    <mergeCell ref="A5:E5"/>
    <mergeCell ref="F5:R5"/>
    <mergeCell ref="B6:E6"/>
    <mergeCell ref="F6:O6"/>
    <mergeCell ref="P6:Q7"/>
    <mergeCell ref="R6:R8"/>
    <mergeCell ref="S6:S8"/>
    <mergeCell ref="B7:B8"/>
    <mergeCell ref="O7:O8"/>
  </mergeCells>
  <pageMargins left="4.1666666666666664E-2" right="3.125E-2" top="0.125" bottom="0.14583333333333334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2017-02-03T05:40:51Z</cp:lastPrinted>
  <dcterms:created xsi:type="dcterms:W3CDTF">2007-02-04T12:22:59Z</dcterms:created>
  <dcterms:modified xsi:type="dcterms:W3CDTF">2017-02-06T09:45:17Z</dcterms:modified>
</cp:coreProperties>
</file>