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225" windowHeight="4755" activeTab="0"/>
  </bookViews>
  <sheets>
    <sheet name="2016" sheetId="1" r:id="rId1"/>
  </sheets>
  <definedNames>
    <definedName name="_xlnm.Print_Area" localSheetId="0">'2016'!$A$4:$S$39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3600-2 доводчика
</t>
        </r>
      </text>
    </comment>
    <comment ref="N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3100р-замена батареек на ГВС
4012р-краска и тд.</t>
        </r>
      </text>
    </comment>
    <comment ref="B2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без оплаты</t>
        </r>
      </text>
    </comment>
    <comment ref="N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2870р-покос</t>
        </r>
      </text>
    </comment>
    <comment ref="N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покос-2870р
9355р-дезинсекция</t>
        </r>
      </text>
    </comment>
    <comment ref="N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тех.обслуживание ОДГО-2578,49р
2500р-ремонт тепловычислителя на гор.воде</t>
        </r>
      </text>
    </comment>
  </commentList>
</comments>
</file>

<file path=xl/sharedStrings.xml><?xml version="1.0" encoding="utf-8"?>
<sst xmlns="http://schemas.openxmlformats.org/spreadsheetml/2006/main" count="96" uniqueCount="84">
  <si>
    <t>Содержание</t>
  </si>
  <si>
    <t>февраль</t>
  </si>
  <si>
    <t>март</t>
  </si>
  <si>
    <t>апрель</t>
  </si>
  <si>
    <t>ремонт</t>
  </si>
  <si>
    <t>итого</t>
  </si>
  <si>
    <t>май</t>
  </si>
  <si>
    <t>июнь</t>
  </si>
  <si>
    <t>Наименование работ</t>
  </si>
  <si>
    <t>ИТОГО</t>
  </si>
  <si>
    <t>июль</t>
  </si>
  <si>
    <t>август</t>
  </si>
  <si>
    <t>октябрь</t>
  </si>
  <si>
    <t>серди</t>
  </si>
  <si>
    <t>дезинсекция</t>
  </si>
  <si>
    <t>ИТОГО:</t>
  </si>
  <si>
    <t>2500р</t>
  </si>
  <si>
    <t>Итого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</si>
  <si>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</si>
  <si>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</si>
  <si>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</si>
  <si>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</si>
  <si>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</si>
  <si>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</si>
  <si>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</si>
  <si>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</si>
  <si>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</si>
  <si>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</si>
  <si>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</si>
  <si>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</si>
  <si>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</si>
  <si>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</si>
  <si>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</si>
  <si>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r>
      <rPr>
        <b/>
        <sz val="8"/>
        <rFont val="Arial Cyr"/>
        <family val="0"/>
      </rPr>
      <t>СОДЕРЖАНИ</t>
    </r>
    <r>
      <rPr>
        <sz val="8"/>
        <rFont val="Arial Cyr"/>
        <family val="0"/>
      </rPr>
      <t>Е,    всего</t>
    </r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</si>
  <si>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</si>
  <si>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</si>
  <si>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</si>
  <si>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</si>
  <si>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</si>
  <si>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</si>
  <si>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</si>
  <si>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</si>
  <si>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</si>
  <si>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</si>
  <si>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</si>
  <si>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</si>
  <si>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</si>
  <si>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</si>
  <si>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</si>
  <si>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</si>
  <si>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</si>
  <si>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</si>
  <si>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</si>
  <si>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</si>
  <si>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</si>
  <si>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</si>
  <si>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</si>
  <si>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</si>
  <si>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</si>
  <si>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</si>
  <si>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по мере необходимости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</si>
  <si>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</si>
  <si>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</si>
  <si>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</si>
  <si>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</si>
  <si>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</si>
  <si>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</si>
  <si>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</si>
  <si>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</si>
  <si>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Непредвиденные расходы</t>
  </si>
  <si>
    <t>Информация о доходах и расходах по дому __Быкова 83/1__на 2016год.</t>
  </si>
  <si>
    <t>3600р</t>
  </si>
  <si>
    <t>2 доводчика</t>
  </si>
  <si>
    <t>3100р</t>
  </si>
  <si>
    <t>замена батареек на ГВС</t>
  </si>
  <si>
    <t>4012р</t>
  </si>
  <si>
    <t>краска и т.д.</t>
  </si>
  <si>
    <t>2870р</t>
  </si>
  <si>
    <t>покос</t>
  </si>
  <si>
    <t>(июль)</t>
  </si>
  <si>
    <t>9355р</t>
  </si>
  <si>
    <t>2578,49р</t>
  </si>
  <si>
    <t>тех.обслуживание ОДГО</t>
  </si>
  <si>
    <t>ремонт тепловычислителя на гор.воде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</si>
</sst>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0_р_._-;\-* #,##0.000_р_._-;_-* &quot;-&quot;??_р_._-;_-@_-"/>
    <numFmt numFmtId="170" formatCode="0.000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_-* #,##0.000_р_._-;\-* #,##0.000_р_._-;_-* &quot;-&quot;?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#,##0.000_р_."/>
    <numFmt numFmtId="177" formatCode="#,##0.00&quot;р.&quot;"/>
  </numFmts>
  <fonts count="5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7"/>
      <name val="Arial Cyr"/>
      <family val="0"/>
    </font>
    <font>
      <b/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2" fillId="33" borderId="11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4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3" fillId="4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164" fontId="3" fillId="7" borderId="10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left"/>
    </xf>
    <xf numFmtId="2" fontId="3" fillId="0" borderId="15" xfId="0" applyNumberFormat="1" applyFont="1" applyBorder="1" applyAlignment="1">
      <alignment horizontal="left" wrapText="1"/>
    </xf>
    <xf numFmtId="0" fontId="52" fillId="0" borderId="15" xfId="0" applyFont="1" applyBorder="1" applyAlignment="1">
      <alignment horizontal="left"/>
    </xf>
    <xf numFmtId="2" fontId="9" fillId="0" borderId="15" xfId="0" applyNumberFormat="1" applyFont="1" applyBorder="1" applyAlignment="1">
      <alignment horizontal="left" wrapText="1"/>
    </xf>
    <xf numFmtId="2" fontId="10" fillId="0" borderId="15" xfId="0" applyNumberFormat="1" applyFont="1" applyBorder="1" applyAlignment="1">
      <alignment horizontal="center" wrapText="1"/>
    </xf>
    <xf numFmtId="0" fontId="9" fillId="33" borderId="10" xfId="0" applyNumberFormat="1" applyFont="1" applyFill="1" applyBorder="1" applyAlignment="1">
      <alignment wrapText="1"/>
    </xf>
    <xf numFmtId="2" fontId="3" fillId="0" borderId="15" xfId="0" applyNumberFormat="1" applyFont="1" applyBorder="1" applyAlignment="1">
      <alignment horizontal="center" vertical="top"/>
    </xf>
    <xf numFmtId="4" fontId="3" fillId="33" borderId="10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 horizontal="right" vertical="top" wrapText="1"/>
    </xf>
    <xf numFmtId="2" fontId="9" fillId="0" borderId="15" xfId="0" applyNumberFormat="1" applyFont="1" applyFill="1" applyBorder="1" applyAlignment="1">
      <alignment horizontal="right" vertical="top" wrapText="1"/>
    </xf>
    <xf numFmtId="2" fontId="9" fillId="0" borderId="10" xfId="0" applyNumberFormat="1" applyFont="1" applyFill="1" applyBorder="1" applyAlignment="1">
      <alignment vertical="top" wrapText="1"/>
    </xf>
    <xf numFmtId="2" fontId="9" fillId="0" borderId="15" xfId="0" applyNumberFormat="1" applyFont="1" applyFill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2" fontId="3" fillId="7" borderId="15" xfId="0" applyNumberFormat="1" applyFont="1" applyFill="1" applyBorder="1" applyAlignment="1">
      <alignment horizontal="center" vertical="top" wrapText="1"/>
    </xf>
    <xf numFmtId="2" fontId="3" fillId="13" borderId="13" xfId="0" applyNumberFormat="1" applyFont="1" applyFill="1" applyBorder="1" applyAlignment="1">
      <alignment horizontal="center" vertical="top" wrapText="1"/>
    </xf>
    <xf numFmtId="2" fontId="3" fillId="13" borderId="16" xfId="0" applyNumberFormat="1" applyFont="1" applyFill="1" applyBorder="1" applyAlignment="1">
      <alignment horizontal="center" vertical="top" wrapText="1"/>
    </xf>
    <xf numFmtId="2" fontId="3" fillId="13" borderId="17" xfId="0" applyNumberFormat="1" applyFont="1" applyFill="1" applyBorder="1" applyAlignment="1">
      <alignment horizontal="center" vertical="top" wrapText="1"/>
    </xf>
    <xf numFmtId="2" fontId="3" fillId="13" borderId="14" xfId="0" applyNumberFormat="1" applyFont="1" applyFill="1" applyBorder="1" applyAlignment="1">
      <alignment horizontal="center" vertical="top" wrapText="1"/>
    </xf>
    <xf numFmtId="17" fontId="3" fillId="35" borderId="10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/>
    </xf>
    <xf numFmtId="164" fontId="3" fillId="13" borderId="10" xfId="0" applyNumberFormat="1" applyFont="1" applyFill="1" applyBorder="1" applyAlignment="1">
      <alignment/>
    </xf>
    <xf numFmtId="164" fontId="3" fillId="13" borderId="15" xfId="0" applyNumberFormat="1" applyFont="1" applyFill="1" applyBorder="1" applyAlignment="1">
      <alignment/>
    </xf>
    <xf numFmtId="164" fontId="3" fillId="9" borderId="10" xfId="0" applyNumberFormat="1" applyFont="1" applyFill="1" applyBorder="1" applyAlignment="1">
      <alignment/>
    </xf>
    <xf numFmtId="4" fontId="3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53" fillId="0" borderId="13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32" borderId="13" xfId="0" applyFill="1" applyBorder="1" applyAlignment="1">
      <alignment horizontal="left" wrapText="1"/>
    </xf>
    <xf numFmtId="0" fontId="0" fillId="32" borderId="16" xfId="0" applyFill="1" applyBorder="1" applyAlignment="1">
      <alignment horizontal="left" wrapText="1"/>
    </xf>
    <xf numFmtId="0" fontId="0" fillId="32" borderId="14" xfId="0" applyFill="1" applyBorder="1" applyAlignment="1">
      <alignment horizontal="left" wrapText="1"/>
    </xf>
    <xf numFmtId="0" fontId="0" fillId="32" borderId="13" xfId="0" applyFill="1" applyBorder="1" applyAlignment="1">
      <alignment horizontal="center" wrapText="1"/>
    </xf>
    <xf numFmtId="0" fontId="0" fillId="32" borderId="16" xfId="0" applyFill="1" applyBorder="1" applyAlignment="1">
      <alignment horizontal="center" wrapText="1"/>
    </xf>
    <xf numFmtId="0" fontId="0" fillId="32" borderId="14" xfId="0" applyFill="1" applyBorder="1" applyAlignment="1">
      <alignment horizontal="center" wrapText="1"/>
    </xf>
    <xf numFmtId="0" fontId="9" fillId="36" borderId="16" xfId="0" applyFont="1" applyFill="1" applyBorder="1" applyAlignment="1">
      <alignment horizontal="center" wrapText="1"/>
    </xf>
    <xf numFmtId="0" fontId="9" fillId="36" borderId="14" xfId="0" applyFont="1" applyFill="1" applyBorder="1" applyAlignment="1">
      <alignment horizontal="center" wrapText="1"/>
    </xf>
    <xf numFmtId="2" fontId="3" fillId="13" borderId="13" xfId="0" applyNumberFormat="1" applyFont="1" applyFill="1" applyBorder="1" applyAlignment="1">
      <alignment horizontal="center" vertical="top" wrapText="1"/>
    </xf>
    <xf numFmtId="2" fontId="3" fillId="13" borderId="16" xfId="0" applyNumberFormat="1" applyFont="1" applyFill="1" applyBorder="1" applyAlignment="1">
      <alignment horizontal="center" vertical="top" wrapText="1"/>
    </xf>
    <xf numFmtId="2" fontId="3" fillId="13" borderId="14" xfId="0" applyNumberFormat="1" applyFont="1" applyFill="1" applyBorder="1" applyAlignment="1">
      <alignment horizontal="center" vertical="top" wrapText="1"/>
    </xf>
    <xf numFmtId="0" fontId="3" fillId="36" borderId="16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53" fillId="0" borderId="19" xfId="0" applyFont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textRotation="90" wrapText="1"/>
    </xf>
    <xf numFmtId="0" fontId="0" fillId="0" borderId="15" xfId="0" applyBorder="1" applyAlignment="1">
      <alignment horizontal="left"/>
    </xf>
    <xf numFmtId="2" fontId="9" fillId="0" borderId="13" xfId="0" applyNumberFormat="1" applyFont="1" applyBorder="1" applyAlignment="1">
      <alignment horizontal="left"/>
    </xf>
    <xf numFmtId="2" fontId="9" fillId="0" borderId="14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9" fillId="0" borderId="13" xfId="0" applyNumberFormat="1" applyFont="1" applyBorder="1" applyAlignment="1">
      <alignment horizontal="center" vertical="top" wrapText="1"/>
    </xf>
    <xf numFmtId="2" fontId="9" fillId="0" borderId="14" xfId="0" applyNumberFormat="1" applyFont="1" applyBorder="1" applyAlignment="1">
      <alignment horizontal="center" vertical="top" wrapText="1"/>
    </xf>
    <xf numFmtId="0" fontId="3" fillId="7" borderId="13" xfId="0" applyFont="1" applyFill="1" applyBorder="1" applyAlignment="1">
      <alignment horizontal="center" wrapText="1"/>
    </xf>
    <xf numFmtId="0" fontId="3" fillId="7" borderId="16" xfId="0" applyFont="1" applyFill="1" applyBorder="1" applyAlignment="1">
      <alignment horizontal="center" wrapText="1"/>
    </xf>
    <xf numFmtId="0" fontId="3" fillId="7" borderId="14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5" xfId="0" applyNumberFormat="1" applyFont="1" applyBorder="1" applyAlignment="1">
      <alignment horizontal="left" vertical="top" textRotation="90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0" fontId="5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left" wrapText="1"/>
    </xf>
    <xf numFmtId="2" fontId="2" fillId="0" borderId="20" xfId="0" applyNumberFormat="1" applyFont="1" applyBorder="1" applyAlignment="1">
      <alignment horizontal="left" wrapText="1"/>
    </xf>
    <xf numFmtId="2" fontId="2" fillId="0" borderId="21" xfId="0" applyNumberFormat="1" applyFont="1" applyBorder="1" applyAlignment="1">
      <alignment horizontal="left" wrapText="1"/>
    </xf>
    <xf numFmtId="2" fontId="2" fillId="0" borderId="22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left" textRotation="90" wrapText="1"/>
    </xf>
    <xf numFmtId="2" fontId="2" fillId="0" borderId="23" xfId="0" applyNumberFormat="1" applyFont="1" applyBorder="1" applyAlignment="1">
      <alignment horizontal="left" textRotation="90" wrapText="1"/>
    </xf>
    <xf numFmtId="2" fontId="2" fillId="0" borderId="15" xfId="0" applyNumberFormat="1" applyFont="1" applyBorder="1" applyAlignment="1">
      <alignment horizontal="left" textRotation="90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23" xfId="0" applyNumberFormat="1" applyFont="1" applyBorder="1" applyAlignment="1">
      <alignment horizontal="center" wrapText="1"/>
    </xf>
    <xf numFmtId="2" fontId="4" fillId="0" borderId="15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4:U59"/>
  <sheetViews>
    <sheetView tabSelected="1" workbookViewId="0" topLeftCell="A4">
      <selection activeCell="N19" sqref="N19"/>
    </sheetView>
  </sheetViews>
  <sheetFormatPr defaultColWidth="9.00390625" defaultRowHeight="12.75"/>
  <cols>
    <col min="1" max="1" width="4.625" style="0" customWidth="1"/>
    <col min="2" max="2" width="9.25390625" style="0" customWidth="1"/>
    <col min="3" max="3" width="8.625" style="0" customWidth="1"/>
    <col min="4" max="4" width="4.625" style="0" customWidth="1"/>
    <col min="5" max="5" width="9.00390625" style="0" customWidth="1"/>
    <col min="6" max="6" width="9.125" style="0" customWidth="1"/>
    <col min="7" max="7" width="9.00390625" style="0" customWidth="1"/>
    <col min="8" max="8" width="8.875" style="0" customWidth="1"/>
    <col min="9" max="9" width="8.375" style="0" customWidth="1"/>
    <col min="10" max="10" width="8.875" style="0" customWidth="1"/>
    <col min="11" max="11" width="0.6171875" style="0" hidden="1" customWidth="1"/>
    <col min="12" max="12" width="7.75390625" style="0" customWidth="1"/>
    <col min="13" max="13" width="8.75390625" style="0" customWidth="1"/>
    <col min="14" max="14" width="8.00390625" style="0" customWidth="1"/>
    <col min="15" max="15" width="10.125" style="0" customWidth="1"/>
    <col min="16" max="16" width="9.00390625" style="0" customWidth="1"/>
    <col min="17" max="17" width="8.00390625" style="0" customWidth="1"/>
    <col min="18" max="18" width="8.875" style="0" customWidth="1"/>
    <col min="19" max="19" width="8.00390625" style="0" customWidth="1"/>
  </cols>
  <sheetData>
    <row r="1" ht="12.75" hidden="1"/>
    <row r="2" ht="12.75" hidden="1"/>
    <row r="3" ht="3.75" customHeight="1" hidden="1"/>
    <row r="4" spans="1:19" ht="15.75">
      <c r="A4" s="127" t="s">
        <v>70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19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ht="12.75">
      <c r="A6" s="128"/>
      <c r="B6" s="63"/>
      <c r="C6" s="63"/>
      <c r="D6" s="63"/>
      <c r="E6" s="58"/>
      <c r="F6" s="62" t="s">
        <v>18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5"/>
    </row>
    <row r="7" spans="1:19" ht="12.75">
      <c r="A7" s="9"/>
      <c r="B7" s="129" t="s">
        <v>19</v>
      </c>
      <c r="C7" s="129"/>
      <c r="D7" s="129"/>
      <c r="E7" s="129"/>
      <c r="F7" s="130" t="s">
        <v>0</v>
      </c>
      <c r="G7" s="131"/>
      <c r="H7" s="131"/>
      <c r="I7" s="131"/>
      <c r="J7" s="131"/>
      <c r="K7" s="131"/>
      <c r="L7" s="131"/>
      <c r="M7" s="131"/>
      <c r="N7" s="131"/>
      <c r="O7" s="132"/>
      <c r="P7" s="133" t="s">
        <v>20</v>
      </c>
      <c r="Q7" s="134"/>
      <c r="R7" s="137" t="s">
        <v>21</v>
      </c>
      <c r="S7" s="140" t="s">
        <v>9</v>
      </c>
    </row>
    <row r="8" spans="1:19" ht="12.75">
      <c r="A8" s="10"/>
      <c r="B8" s="122" t="s">
        <v>22</v>
      </c>
      <c r="C8" s="122" t="s">
        <v>4</v>
      </c>
      <c r="D8" s="122" t="s">
        <v>23</v>
      </c>
      <c r="E8" s="124" t="s">
        <v>5</v>
      </c>
      <c r="F8" s="120" t="s">
        <v>24</v>
      </c>
      <c r="G8" s="120" t="s">
        <v>25</v>
      </c>
      <c r="H8" s="120" t="s">
        <v>26</v>
      </c>
      <c r="I8" s="120" t="s">
        <v>27</v>
      </c>
      <c r="J8" s="120" t="s">
        <v>28</v>
      </c>
      <c r="K8" s="120" t="s">
        <v>29</v>
      </c>
      <c r="L8" s="120" t="s">
        <v>30</v>
      </c>
      <c r="M8" s="120" t="s">
        <v>31</v>
      </c>
      <c r="N8" s="120" t="s">
        <v>32</v>
      </c>
      <c r="O8" s="107" t="s">
        <v>33</v>
      </c>
      <c r="P8" s="135"/>
      <c r="Q8" s="136"/>
      <c r="R8" s="138"/>
      <c r="S8" s="141"/>
    </row>
    <row r="9" spans="1:19" ht="84">
      <c r="A9" s="12"/>
      <c r="B9" s="123"/>
      <c r="C9" s="123"/>
      <c r="D9" s="123"/>
      <c r="E9" s="125"/>
      <c r="F9" s="126"/>
      <c r="G9" s="121"/>
      <c r="H9" s="121"/>
      <c r="I9" s="121"/>
      <c r="J9" s="121"/>
      <c r="K9" s="121"/>
      <c r="L9" s="121"/>
      <c r="M9" s="121"/>
      <c r="N9" s="121"/>
      <c r="O9" s="108"/>
      <c r="P9" s="11" t="s">
        <v>34</v>
      </c>
      <c r="Q9" s="11" t="s">
        <v>35</v>
      </c>
      <c r="R9" s="139"/>
      <c r="S9" s="142"/>
    </row>
    <row r="10" spans="1:19" ht="12.75">
      <c r="A10" s="25">
        <v>2015</v>
      </c>
      <c r="B10" s="26">
        <v>8</v>
      </c>
      <c r="C10" s="26">
        <v>2</v>
      </c>
      <c r="D10" s="26">
        <v>1</v>
      </c>
      <c r="E10" s="27">
        <v>11</v>
      </c>
      <c r="F10" s="28">
        <v>0.93</v>
      </c>
      <c r="G10" s="29">
        <v>2.88</v>
      </c>
      <c r="H10" s="29">
        <v>1.4</v>
      </c>
      <c r="I10" s="29">
        <v>0.17</v>
      </c>
      <c r="J10" s="29">
        <v>1.68</v>
      </c>
      <c r="K10" s="29">
        <v>0</v>
      </c>
      <c r="L10" s="29">
        <v>1.03</v>
      </c>
      <c r="M10" s="29">
        <v>2.06</v>
      </c>
      <c r="N10" s="29">
        <v>0</v>
      </c>
      <c r="O10" s="30">
        <f>SUM(F10:N10)</f>
        <v>10.15</v>
      </c>
      <c r="P10" s="109">
        <v>6.13</v>
      </c>
      <c r="Q10" s="110"/>
      <c r="R10" s="31">
        <v>0.94</v>
      </c>
      <c r="S10" s="32">
        <v>16.09</v>
      </c>
    </row>
    <row r="11" spans="1:19" ht="12.75">
      <c r="A11" s="33">
        <v>2016</v>
      </c>
      <c r="B11" s="34">
        <v>11.5</v>
      </c>
      <c r="C11" s="34">
        <v>2</v>
      </c>
      <c r="D11" s="34">
        <v>1.5</v>
      </c>
      <c r="E11" s="35">
        <f>B11+C11+D11</f>
        <v>15</v>
      </c>
      <c r="F11" s="36">
        <v>1.2</v>
      </c>
      <c r="G11" s="36">
        <v>1.84</v>
      </c>
      <c r="H11" s="36">
        <v>1.6</v>
      </c>
      <c r="I11" s="36">
        <v>0.2</v>
      </c>
      <c r="J11" s="36">
        <v>1.43</v>
      </c>
      <c r="K11" s="36">
        <v>0</v>
      </c>
      <c r="L11" s="36">
        <v>1.03</v>
      </c>
      <c r="M11" s="36">
        <v>2.2</v>
      </c>
      <c r="N11" s="36">
        <v>2</v>
      </c>
      <c r="O11" s="37">
        <f>SUM(F11:N11)</f>
        <v>11.5</v>
      </c>
      <c r="P11" s="38">
        <v>1</v>
      </c>
      <c r="Q11" s="38">
        <v>1</v>
      </c>
      <c r="R11" s="39">
        <v>1.5</v>
      </c>
      <c r="S11" s="40">
        <f>O11+P11+Q11+R11</f>
        <v>15</v>
      </c>
    </row>
    <row r="12" spans="1:21" ht="12.75">
      <c r="A12" s="111" t="s">
        <v>36</v>
      </c>
      <c r="B12" s="111"/>
      <c r="C12" s="111"/>
      <c r="D12" s="111"/>
      <c r="E12" s="41">
        <v>5750.8</v>
      </c>
      <c r="F12" s="112" t="s">
        <v>37</v>
      </c>
      <c r="G12" s="113"/>
      <c r="H12" s="113"/>
      <c r="I12" s="113"/>
      <c r="J12" s="113"/>
      <c r="K12" s="113"/>
      <c r="L12" s="113"/>
      <c r="M12" s="113"/>
      <c r="N12" s="114"/>
      <c r="O12" s="40"/>
      <c r="P12" s="115" t="s">
        <v>38</v>
      </c>
      <c r="Q12" s="116"/>
      <c r="R12" s="40" t="s">
        <v>39</v>
      </c>
      <c r="S12" s="40"/>
      <c r="U12" s="1"/>
    </row>
    <row r="13" spans="1:19" ht="12.75">
      <c r="A13" s="117" t="s">
        <v>40</v>
      </c>
      <c r="B13" s="118"/>
      <c r="C13" s="118"/>
      <c r="D13" s="118"/>
      <c r="E13" s="119"/>
      <c r="F13" s="42">
        <f>E12*F11</f>
        <v>6900.96</v>
      </c>
      <c r="G13" s="42">
        <f>E12*G11</f>
        <v>10581.472000000002</v>
      </c>
      <c r="H13" s="42">
        <f>E12*H11</f>
        <v>9201.28</v>
      </c>
      <c r="I13" s="42">
        <f>E12*I11</f>
        <v>1150.16</v>
      </c>
      <c r="J13" s="42">
        <f>E12*J11</f>
        <v>8223.644</v>
      </c>
      <c r="K13" s="42">
        <f>SUM(K11*2487)</f>
        <v>0</v>
      </c>
      <c r="L13" s="42">
        <f>E12*L11</f>
        <v>5923.3240000000005</v>
      </c>
      <c r="M13" s="42">
        <f>E12*M11</f>
        <v>12651.760000000002</v>
      </c>
      <c r="N13" s="42">
        <f>SUM(N11*2487)</f>
        <v>4974</v>
      </c>
      <c r="O13" s="42">
        <f>SUM(O11*2487)</f>
        <v>28600.5</v>
      </c>
      <c r="P13" s="42">
        <f>E12*P11</f>
        <v>5750.8</v>
      </c>
      <c r="Q13" s="42">
        <f>E12*Q11</f>
        <v>5750.8</v>
      </c>
      <c r="R13" s="42">
        <f>E12*R11</f>
        <v>8626.2</v>
      </c>
      <c r="S13" s="42">
        <f>F13+G13+H13+I13+J13+K13+L13+M13+N13+P13+Q13+R13</f>
        <v>79734.40000000001</v>
      </c>
    </row>
    <row r="14" spans="1:19" ht="12.75">
      <c r="A14" s="91" t="s">
        <v>41</v>
      </c>
      <c r="B14" s="91"/>
      <c r="C14" s="91"/>
      <c r="D14" s="91"/>
      <c r="E14" s="92"/>
      <c r="F14" s="93" t="s">
        <v>42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5"/>
    </row>
    <row r="15" spans="1:19" ht="12.75">
      <c r="A15" s="96" t="s">
        <v>43</v>
      </c>
      <c r="B15" s="96"/>
      <c r="C15" s="96"/>
      <c r="D15" s="97"/>
      <c r="E15" s="35">
        <v>-315075.27</v>
      </c>
      <c r="F15" s="43"/>
      <c r="G15" s="44"/>
      <c r="H15" s="45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6"/>
    </row>
    <row r="16" spans="1:19" ht="12.75">
      <c r="A16" s="47" t="s">
        <v>44</v>
      </c>
      <c r="B16" s="22">
        <f>22223.57+23768.3+4221</f>
        <v>50212.869999999995</v>
      </c>
      <c r="C16" s="22">
        <f>4899.8+5180.25+938</f>
        <v>11018.05</v>
      </c>
      <c r="D16" s="22">
        <v>0</v>
      </c>
      <c r="E16" s="48">
        <f aca="true" t="shared" si="0" ref="E16:E27">B16+C16+D16</f>
        <v>61230.92</v>
      </c>
      <c r="F16" s="49">
        <f>E12*F11</f>
        <v>6900.96</v>
      </c>
      <c r="G16" s="49">
        <f aca="true" t="shared" si="1" ref="G16:G27">5750.8*1.84</f>
        <v>10581.472000000002</v>
      </c>
      <c r="H16" s="50">
        <f>E12*H11</f>
        <v>9201.28</v>
      </c>
      <c r="I16" s="49">
        <v>1680</v>
      </c>
      <c r="J16" s="49">
        <f aca="true" t="shared" si="2" ref="J16:J27">5750.8*1.43</f>
        <v>8223.644</v>
      </c>
      <c r="K16" s="49">
        <v>0</v>
      </c>
      <c r="L16" s="49">
        <f aca="true" t="shared" si="3" ref="L16:L27">5750.8*1.03</f>
        <v>5923.3240000000005</v>
      </c>
      <c r="M16" s="49">
        <f>E12*M11</f>
        <v>12651.760000000002</v>
      </c>
      <c r="N16" s="49">
        <v>0</v>
      </c>
      <c r="O16" s="51">
        <f aca="true" t="shared" si="4" ref="O16:O27">SUM(F16:N16)</f>
        <v>55162.44</v>
      </c>
      <c r="P16" s="24">
        <v>372</v>
      </c>
      <c r="Q16" s="24">
        <v>35480</v>
      </c>
      <c r="R16" s="49">
        <f>E12*R11</f>
        <v>8626.2</v>
      </c>
      <c r="S16" s="52">
        <f aca="true" t="shared" si="5" ref="S16:S27">O16+P16+Q16+R16</f>
        <v>99640.64</v>
      </c>
    </row>
    <row r="17" spans="1:19" ht="12.75">
      <c r="A17" s="47" t="s">
        <v>45</v>
      </c>
      <c r="B17" s="22">
        <f>23429.96+21108.77</f>
        <v>44538.729999999996</v>
      </c>
      <c r="C17" s="22">
        <f>5746.52+4857.55</f>
        <v>10604.07</v>
      </c>
      <c r="D17" s="22">
        <v>0</v>
      </c>
      <c r="E17" s="48">
        <f t="shared" si="0"/>
        <v>55142.799999999996</v>
      </c>
      <c r="F17" s="49">
        <v>6900.96</v>
      </c>
      <c r="G17" s="49">
        <f t="shared" si="1"/>
        <v>10581.472000000002</v>
      </c>
      <c r="H17" s="50">
        <v>9201.28</v>
      </c>
      <c r="I17" s="49">
        <v>1680</v>
      </c>
      <c r="J17" s="49">
        <f t="shared" si="2"/>
        <v>8223.644</v>
      </c>
      <c r="K17" s="49">
        <v>0</v>
      </c>
      <c r="L17" s="49">
        <f t="shared" si="3"/>
        <v>5923.3240000000005</v>
      </c>
      <c r="M17" s="49">
        <f>E12*M11</f>
        <v>12651.760000000002</v>
      </c>
      <c r="N17" s="49">
        <v>3600</v>
      </c>
      <c r="O17" s="51">
        <f t="shared" si="4"/>
        <v>58762.44</v>
      </c>
      <c r="P17" s="24">
        <f>1550+315</f>
        <v>1865</v>
      </c>
      <c r="Q17" s="24">
        <v>0</v>
      </c>
      <c r="R17" s="49">
        <v>8626.2</v>
      </c>
      <c r="S17" s="52">
        <f t="shared" si="5"/>
        <v>69253.64</v>
      </c>
    </row>
    <row r="18" spans="1:19" ht="12.75">
      <c r="A18" s="47" t="s">
        <v>2</v>
      </c>
      <c r="B18" s="22">
        <f>21106.48+19328.5</f>
        <v>40434.979999999996</v>
      </c>
      <c r="C18" s="22">
        <f>4947.22+4538.8</f>
        <v>9486.02</v>
      </c>
      <c r="D18" s="22">
        <v>0</v>
      </c>
      <c r="E18" s="48">
        <f t="shared" si="0"/>
        <v>49921</v>
      </c>
      <c r="F18" s="49">
        <v>6900.96</v>
      </c>
      <c r="G18" s="49">
        <f t="shared" si="1"/>
        <v>10581.472000000002</v>
      </c>
      <c r="H18" s="50">
        <v>9201.28</v>
      </c>
      <c r="I18" s="49">
        <v>1680</v>
      </c>
      <c r="J18" s="49">
        <f t="shared" si="2"/>
        <v>8223.644</v>
      </c>
      <c r="K18" s="49"/>
      <c r="L18" s="49">
        <f t="shared" si="3"/>
        <v>5923.3240000000005</v>
      </c>
      <c r="M18" s="49">
        <f aca="true" t="shared" si="6" ref="M18:M27">5750.8*2.2</f>
        <v>12651.760000000002</v>
      </c>
      <c r="N18" s="49">
        <v>0</v>
      </c>
      <c r="O18" s="51">
        <f t="shared" si="4"/>
        <v>55162.44</v>
      </c>
      <c r="P18" s="24">
        <v>1605</v>
      </c>
      <c r="Q18" s="24">
        <v>0</v>
      </c>
      <c r="R18" s="49">
        <v>8626.2</v>
      </c>
      <c r="S18" s="52">
        <f t="shared" si="5"/>
        <v>65393.64</v>
      </c>
    </row>
    <row r="19" spans="1:19" ht="12.75">
      <c r="A19" s="47" t="s">
        <v>46</v>
      </c>
      <c r="B19" s="22">
        <f>24384.68+33583.32</f>
        <v>57968</v>
      </c>
      <c r="C19" s="22">
        <f>5683.58+6956.2</f>
        <v>12639.779999999999</v>
      </c>
      <c r="D19" s="22">
        <v>0</v>
      </c>
      <c r="E19" s="48">
        <f t="shared" si="0"/>
        <v>70607.78</v>
      </c>
      <c r="F19" s="49">
        <v>6900.96</v>
      </c>
      <c r="G19" s="49">
        <f t="shared" si="1"/>
        <v>10581.472000000002</v>
      </c>
      <c r="H19" s="50">
        <v>9201.28</v>
      </c>
      <c r="I19" s="49">
        <v>1680</v>
      </c>
      <c r="J19" s="49">
        <f t="shared" si="2"/>
        <v>8223.644</v>
      </c>
      <c r="K19" s="49"/>
      <c r="L19" s="49">
        <f t="shared" si="3"/>
        <v>5923.3240000000005</v>
      </c>
      <c r="M19" s="49">
        <f t="shared" si="6"/>
        <v>12651.760000000002</v>
      </c>
      <c r="N19" s="49">
        <f>3100+4012</f>
        <v>7112</v>
      </c>
      <c r="O19" s="51">
        <f t="shared" si="4"/>
        <v>62274.44</v>
      </c>
      <c r="P19" s="24">
        <v>2555</v>
      </c>
      <c r="Q19" s="24">
        <v>0</v>
      </c>
      <c r="R19" s="49">
        <v>8626.2</v>
      </c>
      <c r="S19" s="52">
        <f t="shared" si="5"/>
        <v>73455.64</v>
      </c>
    </row>
    <row r="20" spans="1:19" ht="12.75">
      <c r="A20" s="47" t="s">
        <v>6</v>
      </c>
      <c r="B20" s="22">
        <f>24881.09+19702.3</f>
        <v>44583.39</v>
      </c>
      <c r="C20" s="22">
        <f>5539.16+4600.4</f>
        <v>10139.56</v>
      </c>
      <c r="D20" s="22">
        <v>0</v>
      </c>
      <c r="E20" s="48">
        <f t="shared" si="0"/>
        <v>54722.95</v>
      </c>
      <c r="F20" s="49">
        <v>6900.96</v>
      </c>
      <c r="G20" s="49">
        <f t="shared" si="1"/>
        <v>10581.472000000002</v>
      </c>
      <c r="H20" s="50">
        <v>9201.28</v>
      </c>
      <c r="I20" s="49">
        <v>0</v>
      </c>
      <c r="J20" s="49">
        <f t="shared" si="2"/>
        <v>8223.644</v>
      </c>
      <c r="K20" s="49"/>
      <c r="L20" s="49">
        <f t="shared" si="3"/>
        <v>5923.3240000000005</v>
      </c>
      <c r="M20" s="49">
        <f t="shared" si="6"/>
        <v>12651.760000000002</v>
      </c>
      <c r="N20" s="49">
        <v>2870</v>
      </c>
      <c r="O20" s="51">
        <f t="shared" si="4"/>
        <v>56352.44</v>
      </c>
      <c r="P20" s="24">
        <v>3892</v>
      </c>
      <c r="Q20" s="24">
        <v>0</v>
      </c>
      <c r="R20" s="49">
        <v>8626.2</v>
      </c>
      <c r="S20" s="52">
        <f t="shared" si="5"/>
        <v>68870.64</v>
      </c>
    </row>
    <row r="21" spans="1:19" ht="12.75">
      <c r="A21" s="47" t="s">
        <v>7</v>
      </c>
      <c r="B21" s="22">
        <f>22330.81+21167.1</f>
        <v>43497.91</v>
      </c>
      <c r="C21" s="22">
        <f>4619.2+4737.4</f>
        <v>9356.599999999999</v>
      </c>
      <c r="D21" s="22">
        <v>0</v>
      </c>
      <c r="E21" s="48">
        <f t="shared" si="0"/>
        <v>52854.51</v>
      </c>
      <c r="F21" s="49">
        <v>6900.96</v>
      </c>
      <c r="G21" s="49">
        <f t="shared" si="1"/>
        <v>10581.472000000002</v>
      </c>
      <c r="H21" s="50">
        <v>9201.28</v>
      </c>
      <c r="I21" s="49">
        <v>0</v>
      </c>
      <c r="J21" s="49">
        <f t="shared" si="2"/>
        <v>8223.644</v>
      </c>
      <c r="K21" s="49"/>
      <c r="L21" s="49">
        <f t="shared" si="3"/>
        <v>5923.3240000000005</v>
      </c>
      <c r="M21" s="49">
        <f t="shared" si="6"/>
        <v>12651.760000000002</v>
      </c>
      <c r="N21" s="49">
        <v>0</v>
      </c>
      <c r="O21" s="51">
        <f t="shared" si="4"/>
        <v>53482.44</v>
      </c>
      <c r="P21" s="24">
        <v>861</v>
      </c>
      <c r="Q21" s="24">
        <v>0</v>
      </c>
      <c r="R21" s="49">
        <v>8626.2</v>
      </c>
      <c r="S21" s="52">
        <f t="shared" si="5"/>
        <v>62969.64</v>
      </c>
    </row>
    <row r="22" spans="1:19" ht="12.75">
      <c r="A22" s="47" t="s">
        <v>10</v>
      </c>
      <c r="B22" s="22">
        <f>27814.33+23818.3</f>
        <v>51632.630000000005</v>
      </c>
      <c r="C22" s="22">
        <f>6906.42+4952.6</f>
        <v>11859.02</v>
      </c>
      <c r="D22" s="22">
        <v>0</v>
      </c>
      <c r="E22" s="48">
        <f t="shared" si="0"/>
        <v>63491.65000000001</v>
      </c>
      <c r="F22" s="49">
        <v>6900.96</v>
      </c>
      <c r="G22" s="49">
        <f t="shared" si="1"/>
        <v>10581.472000000002</v>
      </c>
      <c r="H22" s="50">
        <v>9201.28</v>
      </c>
      <c r="I22" s="49">
        <v>0</v>
      </c>
      <c r="J22" s="49">
        <f t="shared" si="2"/>
        <v>8223.644</v>
      </c>
      <c r="K22" s="49"/>
      <c r="L22" s="49">
        <f t="shared" si="3"/>
        <v>5923.3240000000005</v>
      </c>
      <c r="M22" s="49">
        <f t="shared" si="6"/>
        <v>12651.760000000002</v>
      </c>
      <c r="N22" s="49">
        <v>0</v>
      </c>
      <c r="O22" s="51">
        <f t="shared" si="4"/>
        <v>53482.44</v>
      </c>
      <c r="P22" s="24">
        <v>0</v>
      </c>
      <c r="Q22" s="24">
        <v>0</v>
      </c>
      <c r="R22" s="49">
        <v>8626.2</v>
      </c>
      <c r="S22" s="52">
        <f t="shared" si="5"/>
        <v>62108.64</v>
      </c>
    </row>
    <row r="23" spans="1:19" ht="12.75">
      <c r="A23" s="47" t="s">
        <v>11</v>
      </c>
      <c r="B23" s="22">
        <f>33825.52+30595.6</f>
        <v>64421.119999999995</v>
      </c>
      <c r="C23" s="22">
        <f>6146.8+5111.8</f>
        <v>11258.6</v>
      </c>
      <c r="D23" s="22">
        <v>0</v>
      </c>
      <c r="E23" s="48">
        <f t="shared" si="0"/>
        <v>75679.72</v>
      </c>
      <c r="F23" s="49">
        <v>6900.96</v>
      </c>
      <c r="G23" s="49">
        <f t="shared" si="1"/>
        <v>10581.472000000002</v>
      </c>
      <c r="H23" s="50">
        <v>9201.28</v>
      </c>
      <c r="I23" s="49">
        <v>0</v>
      </c>
      <c r="J23" s="49">
        <f t="shared" si="2"/>
        <v>8223.644</v>
      </c>
      <c r="K23" s="49"/>
      <c r="L23" s="49">
        <f t="shared" si="3"/>
        <v>5923.3240000000005</v>
      </c>
      <c r="M23" s="49">
        <f t="shared" si="6"/>
        <v>12651.760000000002</v>
      </c>
      <c r="N23" s="49">
        <f>2870+2870+9355</f>
        <v>15095</v>
      </c>
      <c r="O23" s="51">
        <f t="shared" si="4"/>
        <v>68577.44</v>
      </c>
      <c r="P23" s="24">
        <f>3423+410+30459+1257+667+6115+410+2123</f>
        <v>44864</v>
      </c>
      <c r="Q23" s="24">
        <v>0</v>
      </c>
      <c r="R23" s="49">
        <v>8626.2</v>
      </c>
      <c r="S23" s="52">
        <f t="shared" si="5"/>
        <v>122067.64</v>
      </c>
    </row>
    <row r="24" spans="1:19" ht="12.75">
      <c r="A24" s="47" t="s">
        <v>47</v>
      </c>
      <c r="B24" s="22">
        <f>45347.62+29288.6+1808.6</f>
        <v>76444.82</v>
      </c>
      <c r="C24" s="22">
        <f>8256.4+4519.8+624.4</f>
        <v>13400.6</v>
      </c>
      <c r="D24" s="22">
        <v>0</v>
      </c>
      <c r="E24" s="48">
        <f t="shared" si="0"/>
        <v>89845.42000000001</v>
      </c>
      <c r="F24" s="49">
        <v>6900.96</v>
      </c>
      <c r="G24" s="49">
        <f t="shared" si="1"/>
        <v>10581.472000000002</v>
      </c>
      <c r="H24" s="50">
        <v>9201.28</v>
      </c>
      <c r="I24" s="49">
        <v>0</v>
      </c>
      <c r="J24" s="49">
        <f t="shared" si="2"/>
        <v>8223.644</v>
      </c>
      <c r="K24" s="49"/>
      <c r="L24" s="49">
        <f t="shared" si="3"/>
        <v>5923.3240000000005</v>
      </c>
      <c r="M24" s="49">
        <f t="shared" si="6"/>
        <v>12651.760000000002</v>
      </c>
      <c r="N24" s="49">
        <v>0</v>
      </c>
      <c r="O24" s="51">
        <f t="shared" si="4"/>
        <v>53482.44</v>
      </c>
      <c r="P24" s="24">
        <v>0</v>
      </c>
      <c r="Q24" s="24">
        <v>445</v>
      </c>
      <c r="R24" s="49">
        <v>8626.2</v>
      </c>
      <c r="S24" s="52">
        <f t="shared" si="5"/>
        <v>62553.64</v>
      </c>
    </row>
    <row r="25" spans="1:19" ht="12.75">
      <c r="A25" s="47" t="s">
        <v>48</v>
      </c>
      <c r="B25" s="22">
        <f>38657.79+28868.8+808.6</f>
        <v>68335.19</v>
      </c>
      <c r="C25" s="22">
        <f>6522.8+4666.2+124.4</f>
        <v>11313.4</v>
      </c>
      <c r="D25" s="22">
        <v>0</v>
      </c>
      <c r="E25" s="48">
        <f t="shared" si="0"/>
        <v>79648.59</v>
      </c>
      <c r="F25" s="49">
        <v>6900.96</v>
      </c>
      <c r="G25" s="49">
        <f t="shared" si="1"/>
        <v>10581.472000000002</v>
      </c>
      <c r="H25" s="50">
        <v>9201.28</v>
      </c>
      <c r="I25" s="49">
        <v>1680</v>
      </c>
      <c r="J25" s="49">
        <f t="shared" si="2"/>
        <v>8223.644</v>
      </c>
      <c r="K25" s="49"/>
      <c r="L25" s="49">
        <f t="shared" si="3"/>
        <v>5923.3240000000005</v>
      </c>
      <c r="M25" s="49">
        <f t="shared" si="6"/>
        <v>12651.760000000002</v>
      </c>
      <c r="N25" s="49">
        <f>2578.49+2500</f>
        <v>5078.49</v>
      </c>
      <c r="O25" s="51">
        <f t="shared" si="4"/>
        <v>60240.93</v>
      </c>
      <c r="P25" s="24">
        <f>516+2339+4464</f>
        <v>7319</v>
      </c>
      <c r="Q25" s="24">
        <v>14072</v>
      </c>
      <c r="R25" s="49">
        <v>8626.2</v>
      </c>
      <c r="S25" s="52">
        <f t="shared" si="5"/>
        <v>90258.12999999999</v>
      </c>
    </row>
    <row r="26" spans="1:19" ht="12.75">
      <c r="A26" s="47" t="s">
        <v>49</v>
      </c>
      <c r="B26" s="22">
        <f>38911.42+27914+1733.4</f>
        <v>68558.81999999999</v>
      </c>
      <c r="C26" s="22">
        <f>5957.75+4250.8+706.2</f>
        <v>10914.75</v>
      </c>
      <c r="D26" s="22">
        <v>0</v>
      </c>
      <c r="E26" s="48">
        <f t="shared" si="0"/>
        <v>79473.56999999999</v>
      </c>
      <c r="F26" s="49">
        <v>6900.96</v>
      </c>
      <c r="G26" s="49">
        <f t="shared" si="1"/>
        <v>10581.472000000002</v>
      </c>
      <c r="H26" s="50">
        <v>9201.28</v>
      </c>
      <c r="I26" s="49">
        <v>1680</v>
      </c>
      <c r="J26" s="49">
        <f t="shared" si="2"/>
        <v>8223.644</v>
      </c>
      <c r="K26" s="49"/>
      <c r="L26" s="49">
        <f t="shared" si="3"/>
        <v>5923.3240000000005</v>
      </c>
      <c r="M26" s="49">
        <f t="shared" si="6"/>
        <v>12651.760000000002</v>
      </c>
      <c r="N26" s="49">
        <v>0</v>
      </c>
      <c r="O26" s="51">
        <f t="shared" si="4"/>
        <v>55162.44</v>
      </c>
      <c r="P26" s="24">
        <v>0</v>
      </c>
      <c r="Q26" s="24">
        <v>0</v>
      </c>
      <c r="R26" s="49">
        <v>8626.2</v>
      </c>
      <c r="S26" s="52">
        <f t="shared" si="5"/>
        <v>63788.64</v>
      </c>
    </row>
    <row r="27" spans="1:19" ht="12.75">
      <c r="A27" s="47" t="s">
        <v>50</v>
      </c>
      <c r="B27" s="22">
        <f>42614.11+28375.4+1617.2</f>
        <v>72606.71</v>
      </c>
      <c r="C27" s="22">
        <f>7620.25+4578.8+248.8</f>
        <v>12447.849999999999</v>
      </c>
      <c r="D27" s="22">
        <v>0</v>
      </c>
      <c r="E27" s="48">
        <f t="shared" si="0"/>
        <v>85054.56</v>
      </c>
      <c r="F27" s="49">
        <v>6900.96</v>
      </c>
      <c r="G27" s="49">
        <f t="shared" si="1"/>
        <v>10581.472000000002</v>
      </c>
      <c r="H27" s="50">
        <v>9201.28</v>
      </c>
      <c r="I27" s="49">
        <v>1680</v>
      </c>
      <c r="J27" s="49">
        <f t="shared" si="2"/>
        <v>8223.644</v>
      </c>
      <c r="K27" s="49"/>
      <c r="L27" s="49">
        <f t="shared" si="3"/>
        <v>5923.3240000000005</v>
      </c>
      <c r="M27" s="49">
        <f t="shared" si="6"/>
        <v>12651.760000000002</v>
      </c>
      <c r="N27" s="49">
        <v>0</v>
      </c>
      <c r="O27" s="51">
        <f t="shared" si="4"/>
        <v>55162.44</v>
      </c>
      <c r="P27" s="24">
        <v>1350</v>
      </c>
      <c r="Q27" s="24">
        <v>0</v>
      </c>
      <c r="R27" s="49">
        <v>8626.2</v>
      </c>
      <c r="S27" s="52">
        <f t="shared" si="5"/>
        <v>65138.64</v>
      </c>
    </row>
    <row r="28" spans="1:19" ht="19.5">
      <c r="A28" s="53" t="s">
        <v>51</v>
      </c>
      <c r="B28" s="22">
        <f>1800+1800+1800+1800</f>
        <v>7200</v>
      </c>
      <c r="C28" s="22">
        <v>0</v>
      </c>
      <c r="D28" s="22">
        <v>0</v>
      </c>
      <c r="E28" s="22">
        <f>B28+C28</f>
        <v>7200</v>
      </c>
      <c r="F28" s="49"/>
      <c r="G28" s="49"/>
      <c r="H28" s="49"/>
      <c r="I28" s="49"/>
      <c r="J28" s="49"/>
      <c r="K28" s="49"/>
      <c r="L28" s="49"/>
      <c r="M28" s="49"/>
      <c r="N28" s="49"/>
      <c r="O28" s="51"/>
      <c r="P28" s="24"/>
      <c r="Q28" s="24"/>
      <c r="R28" s="49"/>
      <c r="S28" s="52"/>
    </row>
    <row r="29" spans="1:19" ht="12.75">
      <c r="A29" s="53" t="s">
        <v>13</v>
      </c>
      <c r="B29" s="22">
        <v>0</v>
      </c>
      <c r="C29" s="22">
        <v>0</v>
      </c>
      <c r="D29" s="22">
        <v>0</v>
      </c>
      <c r="E29" s="22">
        <f>B29+C29</f>
        <v>0</v>
      </c>
      <c r="F29" s="49"/>
      <c r="G29" s="49"/>
      <c r="H29" s="49"/>
      <c r="I29" s="49"/>
      <c r="J29" s="49"/>
      <c r="K29" s="49"/>
      <c r="L29" s="49"/>
      <c r="M29" s="49"/>
      <c r="N29" s="49"/>
      <c r="O29" s="51"/>
      <c r="P29" s="24"/>
      <c r="Q29" s="24"/>
      <c r="R29" s="49"/>
      <c r="S29" s="52"/>
    </row>
    <row r="30" spans="1:19" ht="12.75">
      <c r="A30" s="54" t="s">
        <v>5</v>
      </c>
      <c r="B30" s="23">
        <f>SUM(B16:B29)</f>
        <v>690435.1699999999</v>
      </c>
      <c r="C30" s="23">
        <f>SUM(C16:C29)</f>
        <v>134438.3</v>
      </c>
      <c r="D30" s="23">
        <f>SUM(D16:D29)</f>
        <v>0</v>
      </c>
      <c r="E30" s="23">
        <f>SUM(E15:E29)</f>
        <v>509798.19999999995</v>
      </c>
      <c r="F30" s="23">
        <f>SUM(F16:F29)</f>
        <v>82811.52000000002</v>
      </c>
      <c r="G30" s="23">
        <f>SUM(G16:G29)</f>
        <v>126977.66400000005</v>
      </c>
      <c r="H30" s="23">
        <f>SUM(H16:H29)</f>
        <v>110415.36</v>
      </c>
      <c r="I30" s="23">
        <f>SUM(I16:I29)</f>
        <v>11760</v>
      </c>
      <c r="J30" s="23">
        <f>SUM(J16:J29)</f>
        <v>98683.728</v>
      </c>
      <c r="K30" s="23"/>
      <c r="L30" s="23">
        <f aca="true" t="shared" si="7" ref="L30:S30">SUM(L16:L29)</f>
        <v>71079.888</v>
      </c>
      <c r="M30" s="23">
        <f t="shared" si="7"/>
        <v>151821.12000000005</v>
      </c>
      <c r="N30" s="23">
        <f t="shared" si="7"/>
        <v>33755.49</v>
      </c>
      <c r="O30" s="23">
        <f t="shared" si="7"/>
        <v>687304.77</v>
      </c>
      <c r="P30" s="23">
        <f t="shared" si="7"/>
        <v>64683</v>
      </c>
      <c r="Q30" s="23">
        <f t="shared" si="7"/>
        <v>49997</v>
      </c>
      <c r="R30" s="23">
        <f t="shared" si="7"/>
        <v>103514.39999999998</v>
      </c>
      <c r="S30" s="55">
        <f t="shared" si="7"/>
        <v>905499.17</v>
      </c>
    </row>
    <row r="31" spans="1:19" ht="12.75">
      <c r="A31" s="21"/>
      <c r="B31" s="3" t="s">
        <v>1</v>
      </c>
      <c r="C31" s="3" t="s">
        <v>71</v>
      </c>
      <c r="D31" s="3" t="s">
        <v>72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0" t="s">
        <v>15</v>
      </c>
      <c r="R31" s="64">
        <f>E30-S30</f>
        <v>-395700.9700000001</v>
      </c>
      <c r="S31" s="64"/>
    </row>
    <row r="32" spans="1:19" ht="12.75">
      <c r="A32" s="21"/>
      <c r="B32" s="3" t="s">
        <v>3</v>
      </c>
      <c r="C32" s="3" t="s">
        <v>73</v>
      </c>
      <c r="D32" s="3" t="s">
        <v>74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9"/>
    </row>
    <row r="33" spans="3:4" ht="12.75">
      <c r="C33" s="2" t="s">
        <v>75</v>
      </c>
      <c r="D33" t="s">
        <v>76</v>
      </c>
    </row>
    <row r="34" spans="2:16" ht="12.75">
      <c r="B34" t="s">
        <v>6</v>
      </c>
      <c r="C34" s="2" t="s">
        <v>77</v>
      </c>
      <c r="D34" t="s">
        <v>78</v>
      </c>
      <c r="P34" s="56"/>
    </row>
    <row r="35" spans="2:15" ht="12.75">
      <c r="B35" t="s">
        <v>11</v>
      </c>
      <c r="C35" s="2" t="s">
        <v>77</v>
      </c>
      <c r="D35" t="s">
        <v>78</v>
      </c>
      <c r="O35" s="56"/>
    </row>
    <row r="36" spans="3:15" ht="12.75">
      <c r="C36" s="2" t="s">
        <v>77</v>
      </c>
      <c r="D36" t="s">
        <v>78</v>
      </c>
      <c r="E36" t="s">
        <v>79</v>
      </c>
      <c r="O36" s="56"/>
    </row>
    <row r="37" spans="3:4" ht="12.75">
      <c r="C37" s="2" t="s">
        <v>80</v>
      </c>
      <c r="D37" t="s">
        <v>14</v>
      </c>
    </row>
    <row r="38" spans="2:4" ht="12.75">
      <c r="B38" t="s">
        <v>12</v>
      </c>
      <c r="C38" s="2" t="s">
        <v>81</v>
      </c>
      <c r="D38" t="s">
        <v>82</v>
      </c>
    </row>
    <row r="39" spans="3:4" ht="12.75">
      <c r="C39" s="2" t="s">
        <v>16</v>
      </c>
      <c r="D39" t="s">
        <v>83</v>
      </c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spans="1:19" ht="15">
      <c r="A47" s="98" t="s">
        <v>52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ht="12.75">
      <c r="A48" s="99" t="s">
        <v>53</v>
      </c>
      <c r="B48" s="99"/>
      <c r="C48" s="100" t="s">
        <v>8</v>
      </c>
      <c r="D48" s="100"/>
      <c r="E48" s="100"/>
      <c r="F48" s="100"/>
      <c r="G48" s="100"/>
      <c r="H48" s="100"/>
      <c r="I48" s="100"/>
      <c r="J48" s="100"/>
      <c r="K48" s="100"/>
      <c r="L48" s="101" t="s">
        <v>54</v>
      </c>
      <c r="M48" s="102"/>
      <c r="N48" s="103"/>
      <c r="O48" s="99" t="s">
        <v>55</v>
      </c>
      <c r="P48" s="72"/>
      <c r="Q48" s="99" t="s">
        <v>56</v>
      </c>
      <c r="R48" s="99"/>
      <c r="S48" s="72" t="s">
        <v>57</v>
      </c>
    </row>
    <row r="49" spans="1:19" ht="12.75">
      <c r="A49" s="99"/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4"/>
      <c r="M49" s="105"/>
      <c r="N49" s="106"/>
      <c r="O49" s="99"/>
      <c r="P49" s="73"/>
      <c r="Q49" s="99"/>
      <c r="R49" s="99"/>
      <c r="S49" s="73"/>
    </row>
    <row r="50" spans="1:19" ht="12.75">
      <c r="A50" s="83"/>
      <c r="B50" s="84"/>
      <c r="C50" s="85" t="s">
        <v>58</v>
      </c>
      <c r="D50" s="86"/>
      <c r="E50" s="86"/>
      <c r="F50" s="86"/>
      <c r="G50" s="86"/>
      <c r="H50" s="86"/>
      <c r="I50" s="86"/>
      <c r="J50" s="86"/>
      <c r="K50" s="87"/>
      <c r="L50" s="88"/>
      <c r="M50" s="89"/>
      <c r="N50" s="90"/>
      <c r="O50" s="6"/>
      <c r="P50" s="6"/>
      <c r="Q50" s="61"/>
      <c r="R50" s="61"/>
      <c r="S50" s="6"/>
    </row>
    <row r="51" spans="1:19" ht="12.75">
      <c r="A51" s="83"/>
      <c r="B51" s="84"/>
      <c r="C51" s="85" t="s">
        <v>59</v>
      </c>
      <c r="D51" s="86"/>
      <c r="E51" s="86"/>
      <c r="F51" s="86"/>
      <c r="G51" s="86"/>
      <c r="H51" s="86"/>
      <c r="I51" s="86"/>
      <c r="J51" s="86"/>
      <c r="K51" s="87"/>
      <c r="L51" s="66" t="s">
        <v>60</v>
      </c>
      <c r="M51" s="67"/>
      <c r="N51" s="68"/>
      <c r="O51" s="13">
        <v>0.05</v>
      </c>
      <c r="P51" s="14"/>
      <c r="Q51" s="62">
        <f>SUM(O51*2487*12)</f>
        <v>1492.2</v>
      </c>
      <c r="R51" s="62"/>
      <c r="S51" s="13"/>
    </row>
    <row r="52" spans="1:19" ht="12.75">
      <c r="A52" s="83"/>
      <c r="B52" s="84"/>
      <c r="C52" s="85" t="s">
        <v>61</v>
      </c>
      <c r="D52" s="86"/>
      <c r="E52" s="86"/>
      <c r="F52" s="86"/>
      <c r="G52" s="86"/>
      <c r="H52" s="86"/>
      <c r="I52" s="86"/>
      <c r="J52" s="86"/>
      <c r="K52" s="87"/>
      <c r="L52" s="66" t="s">
        <v>60</v>
      </c>
      <c r="M52" s="67"/>
      <c r="N52" s="68"/>
      <c r="O52" s="13">
        <v>0.05</v>
      </c>
      <c r="P52" s="14"/>
      <c r="Q52" s="62">
        <f aca="true" t="shared" si="8" ref="Q52:Q58">SUM(O52*2487*12)</f>
        <v>1492.2</v>
      </c>
      <c r="R52" s="62"/>
      <c r="S52" s="13"/>
    </row>
    <row r="53" spans="1:19" ht="12.75">
      <c r="A53" s="83"/>
      <c r="B53" s="84"/>
      <c r="C53" s="85" t="s">
        <v>62</v>
      </c>
      <c r="D53" s="86"/>
      <c r="E53" s="86"/>
      <c r="F53" s="86"/>
      <c r="G53" s="86"/>
      <c r="H53" s="86"/>
      <c r="I53" s="86"/>
      <c r="J53" s="86"/>
      <c r="K53" s="87"/>
      <c r="L53" s="66" t="s">
        <v>63</v>
      </c>
      <c r="M53" s="67"/>
      <c r="N53" s="68"/>
      <c r="O53" s="13">
        <v>0.15</v>
      </c>
      <c r="P53" s="14"/>
      <c r="Q53" s="62">
        <f t="shared" si="8"/>
        <v>4476.6</v>
      </c>
      <c r="R53" s="62"/>
      <c r="S53" s="13"/>
    </row>
    <row r="54" spans="1:19" ht="12.75">
      <c r="A54" s="57"/>
      <c r="B54" s="58"/>
      <c r="C54" s="80" t="s">
        <v>64</v>
      </c>
      <c r="D54" s="81"/>
      <c r="E54" s="81"/>
      <c r="F54" s="81"/>
      <c r="G54" s="81"/>
      <c r="H54" s="81"/>
      <c r="I54" s="81"/>
      <c r="J54" s="81"/>
      <c r="K54" s="82"/>
      <c r="L54" s="66" t="s">
        <v>60</v>
      </c>
      <c r="M54" s="67"/>
      <c r="N54" s="68"/>
      <c r="O54" s="5">
        <v>0.15</v>
      </c>
      <c r="P54" s="5"/>
      <c r="Q54" s="62">
        <f t="shared" si="8"/>
        <v>4476.6</v>
      </c>
      <c r="R54" s="62"/>
      <c r="S54" s="5"/>
    </row>
    <row r="55" spans="1:19" ht="12.75">
      <c r="A55" s="62"/>
      <c r="B55" s="62"/>
      <c r="C55" s="74" t="s">
        <v>65</v>
      </c>
      <c r="D55" s="75"/>
      <c r="E55" s="75"/>
      <c r="F55" s="75"/>
      <c r="G55" s="75"/>
      <c r="H55" s="75"/>
      <c r="I55" s="75"/>
      <c r="J55" s="75"/>
      <c r="K55" s="76"/>
      <c r="L55" s="77" t="s">
        <v>66</v>
      </c>
      <c r="M55" s="78"/>
      <c r="N55" s="79"/>
      <c r="O55" s="5">
        <v>0.25</v>
      </c>
      <c r="P55" s="5"/>
      <c r="Q55" s="62">
        <f t="shared" si="8"/>
        <v>7461</v>
      </c>
      <c r="R55" s="62"/>
      <c r="S55" s="5"/>
    </row>
    <row r="56" spans="1:19" ht="12.75">
      <c r="A56" s="57"/>
      <c r="B56" s="58"/>
      <c r="C56" s="74" t="s">
        <v>67</v>
      </c>
      <c r="D56" s="75"/>
      <c r="E56" s="75"/>
      <c r="F56" s="75"/>
      <c r="G56" s="75"/>
      <c r="H56" s="75"/>
      <c r="I56" s="75"/>
      <c r="J56" s="75"/>
      <c r="K56" s="76"/>
      <c r="L56" s="77" t="s">
        <v>66</v>
      </c>
      <c r="M56" s="78"/>
      <c r="N56" s="79"/>
      <c r="O56" s="5">
        <v>0.1</v>
      </c>
      <c r="P56" s="15"/>
      <c r="Q56" s="62">
        <f t="shared" si="8"/>
        <v>2984.4</v>
      </c>
      <c r="R56" s="62"/>
      <c r="S56" s="5"/>
    </row>
    <row r="57" spans="1:19" ht="12.75">
      <c r="A57" s="62"/>
      <c r="B57" s="62"/>
      <c r="C57" s="80" t="s">
        <v>68</v>
      </c>
      <c r="D57" s="81"/>
      <c r="E57" s="81"/>
      <c r="F57" s="81"/>
      <c r="G57" s="81"/>
      <c r="H57" s="81"/>
      <c r="I57" s="81"/>
      <c r="J57" s="81"/>
      <c r="K57" s="82"/>
      <c r="L57" s="77" t="s">
        <v>66</v>
      </c>
      <c r="M57" s="78"/>
      <c r="N57" s="79"/>
      <c r="O57" s="5">
        <v>0.25</v>
      </c>
      <c r="P57" s="5"/>
      <c r="Q57" s="62">
        <f t="shared" si="8"/>
        <v>7461</v>
      </c>
      <c r="R57" s="62"/>
      <c r="S57" s="5"/>
    </row>
    <row r="58" spans="1:19" ht="12.75">
      <c r="A58" s="16"/>
      <c r="B58" s="7"/>
      <c r="C58" s="65" t="s">
        <v>69</v>
      </c>
      <c r="D58" s="65"/>
      <c r="E58" s="65"/>
      <c r="F58" s="65"/>
      <c r="G58" s="65"/>
      <c r="H58" s="65"/>
      <c r="I58" s="65"/>
      <c r="J58" s="65"/>
      <c r="K58" s="65"/>
      <c r="L58" s="66" t="s">
        <v>60</v>
      </c>
      <c r="M58" s="67"/>
      <c r="N58" s="68"/>
      <c r="O58" s="4">
        <v>1</v>
      </c>
      <c r="P58" s="17"/>
      <c r="Q58" s="62">
        <f t="shared" si="8"/>
        <v>29844</v>
      </c>
      <c r="R58" s="62"/>
      <c r="S58" s="5"/>
    </row>
    <row r="59" spans="5:19" ht="12.75">
      <c r="E59" s="69" t="s">
        <v>17</v>
      </c>
      <c r="F59" s="70"/>
      <c r="G59" s="70"/>
      <c r="H59" s="70"/>
      <c r="I59" s="70"/>
      <c r="J59" s="70"/>
      <c r="K59" s="70"/>
      <c r="L59" s="70"/>
      <c r="M59" s="70"/>
      <c r="N59" s="71"/>
      <c r="O59" s="8">
        <f>SUM(O51:O58)</f>
        <v>2</v>
      </c>
      <c r="P59" s="18"/>
      <c r="Q59" s="59">
        <f>SUM(Q51:Q58)</f>
        <v>59688</v>
      </c>
      <c r="R59" s="59"/>
      <c r="S59" s="5"/>
    </row>
  </sheetData>
  <sheetProtection/>
  <mergeCells count="77">
    <mergeCell ref="A4:S4"/>
    <mergeCell ref="A5:S5"/>
    <mergeCell ref="A6:E6"/>
    <mergeCell ref="F6:R6"/>
    <mergeCell ref="B7:E7"/>
    <mergeCell ref="F7:O7"/>
    <mergeCell ref="P7:Q8"/>
    <mergeCell ref="R7:R9"/>
    <mergeCell ref="S7:S9"/>
    <mergeCell ref="B8:B9"/>
    <mergeCell ref="M8:M9"/>
    <mergeCell ref="N8:N9"/>
    <mergeCell ref="C8:C9"/>
    <mergeCell ref="D8:D9"/>
    <mergeCell ref="E8:E9"/>
    <mergeCell ref="F8:F9"/>
    <mergeCell ref="G8:G9"/>
    <mergeCell ref="H8:H9"/>
    <mergeCell ref="O8:O9"/>
    <mergeCell ref="P10:Q10"/>
    <mergeCell ref="A12:D12"/>
    <mergeCell ref="F12:N12"/>
    <mergeCell ref="P12:Q12"/>
    <mergeCell ref="A13:E13"/>
    <mergeCell ref="I8:I9"/>
    <mergeCell ref="J8:J9"/>
    <mergeCell ref="K8:K9"/>
    <mergeCell ref="L8:L9"/>
    <mergeCell ref="A14:E14"/>
    <mergeCell ref="F14:S14"/>
    <mergeCell ref="A15:D15"/>
    <mergeCell ref="A47:S47"/>
    <mergeCell ref="A48:B49"/>
    <mergeCell ref="C48:K49"/>
    <mergeCell ref="L48:N49"/>
    <mergeCell ref="O48:O49"/>
    <mergeCell ref="P48:P49"/>
    <mergeCell ref="Q48:R49"/>
    <mergeCell ref="A50:B50"/>
    <mergeCell ref="C50:K50"/>
    <mergeCell ref="L50:N50"/>
    <mergeCell ref="Q50:R50"/>
    <mergeCell ref="A51:B51"/>
    <mergeCell ref="C51:K51"/>
    <mergeCell ref="L51:N51"/>
    <mergeCell ref="Q51:R51"/>
    <mergeCell ref="A52:B52"/>
    <mergeCell ref="C52:K52"/>
    <mergeCell ref="L52:N52"/>
    <mergeCell ref="Q52:R52"/>
    <mergeCell ref="A53:B53"/>
    <mergeCell ref="C53:K53"/>
    <mergeCell ref="L53:N53"/>
    <mergeCell ref="Q53:R53"/>
    <mergeCell ref="A54:B54"/>
    <mergeCell ref="C54:K54"/>
    <mergeCell ref="L54:N54"/>
    <mergeCell ref="Q54:R54"/>
    <mergeCell ref="A55:B55"/>
    <mergeCell ref="C55:K55"/>
    <mergeCell ref="L55:N55"/>
    <mergeCell ref="Q55:R55"/>
    <mergeCell ref="A56:B56"/>
    <mergeCell ref="C56:K56"/>
    <mergeCell ref="L56:N56"/>
    <mergeCell ref="Q56:R56"/>
    <mergeCell ref="A57:B57"/>
    <mergeCell ref="C57:K57"/>
    <mergeCell ref="L57:N57"/>
    <mergeCell ref="Q57:R57"/>
    <mergeCell ref="R31:S31"/>
    <mergeCell ref="C58:K58"/>
    <mergeCell ref="L58:N58"/>
    <mergeCell ref="Q58:R58"/>
    <mergeCell ref="E59:N59"/>
    <mergeCell ref="Q59:R59"/>
    <mergeCell ref="S48:S49"/>
  </mergeCells>
  <printOptions/>
  <pageMargins left="0.10416666666666667" right="0.020833333333333332" top="0.10416666666666667" bottom="0.052083333333333336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2017-02-03T06:19:06Z</cp:lastPrinted>
  <dcterms:created xsi:type="dcterms:W3CDTF">2007-02-04T12:22:59Z</dcterms:created>
  <dcterms:modified xsi:type="dcterms:W3CDTF">2017-02-06T09:45:59Z</dcterms:modified>
  <cp:category/>
  <cp:version/>
  <cp:contentType/>
  <cp:contentStatus/>
</cp:coreProperties>
</file>