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2225" windowHeight="4755"/>
  </bookViews>
  <sheets>
    <sheet name="2016" sheetId="5" r:id="rId1"/>
  </sheets>
  <definedNames>
    <definedName name="_xlnm.Print_Area" localSheetId="0">'2016'!$A$4:$S$36</definedName>
  </definedNames>
  <calcPr calcId="145621"/>
</workbook>
</file>

<file path=xl/calcChain.xml><?xml version="1.0" encoding="utf-8"?>
<calcChain xmlns="http://schemas.openxmlformats.org/spreadsheetml/2006/main">
  <c r="B27" i="5" l="1"/>
  <c r="C27" i="5"/>
  <c r="E27" i="5"/>
  <c r="O27" i="5"/>
  <c r="S27" i="5"/>
  <c r="R29" i="5"/>
  <c r="Q29" i="5"/>
  <c r="I29" i="5"/>
  <c r="D29" i="5"/>
  <c r="B28" i="5"/>
  <c r="B26" i="5" l="1"/>
  <c r="C26" i="5"/>
  <c r="O26" i="5"/>
  <c r="S26" i="5" s="1"/>
  <c r="E26" i="5" l="1"/>
  <c r="B25" i="5"/>
  <c r="C25" i="5"/>
  <c r="E25" i="5" s="1"/>
  <c r="O25" i="5"/>
  <c r="S25" i="5" s="1"/>
  <c r="B24" i="5" l="1"/>
  <c r="C24" i="5"/>
  <c r="O24" i="5"/>
  <c r="S24" i="5" s="1"/>
  <c r="E24" i="5" l="1"/>
  <c r="N23" i="5"/>
  <c r="N29" i="5" s="1"/>
  <c r="B23" i="5" l="1"/>
  <c r="C23" i="5"/>
  <c r="O23" i="5"/>
  <c r="S23" i="5" s="1"/>
  <c r="E23" i="5" l="1"/>
  <c r="P21" i="5"/>
  <c r="P29" i="5" s="1"/>
  <c r="B22" i="5" l="1"/>
  <c r="E22" i="5" s="1"/>
  <c r="C22" i="5"/>
  <c r="O22" i="5"/>
  <c r="S22" i="5" s="1"/>
  <c r="B21" i="5" l="1"/>
  <c r="C21" i="5"/>
  <c r="O21" i="5"/>
  <c r="S21" i="5" s="1"/>
  <c r="E21" i="5" l="1"/>
  <c r="O20" i="5"/>
  <c r="S20" i="5" s="1"/>
  <c r="C20" i="5"/>
  <c r="B20" i="5"/>
  <c r="E20" i="5" l="1"/>
  <c r="O19" i="5"/>
  <c r="S19" i="5" s="1"/>
  <c r="C19" i="5"/>
  <c r="B19" i="5"/>
  <c r="O10" i="5"/>
  <c r="S10" i="5" s="1"/>
  <c r="E19" i="5" l="1"/>
  <c r="O18" i="5"/>
  <c r="S18" i="5" s="1"/>
  <c r="C18" i="5"/>
  <c r="B18" i="5"/>
  <c r="E28" i="5"/>
  <c r="E18" i="5" l="1"/>
  <c r="O11" i="5"/>
  <c r="O17" i="5"/>
  <c r="S17" i="5" s="1"/>
  <c r="M16" i="5"/>
  <c r="M29" i="5" s="1"/>
  <c r="J16" i="5"/>
  <c r="J29" i="5" s="1"/>
  <c r="H16" i="5"/>
  <c r="H29" i="5" s="1"/>
  <c r="G16" i="5"/>
  <c r="G29" i="5" s="1"/>
  <c r="F16" i="5"/>
  <c r="F29" i="5" s="1"/>
  <c r="Q13" i="5"/>
  <c r="P13" i="5"/>
  <c r="N13" i="5"/>
  <c r="M13" i="5"/>
  <c r="J13" i="5"/>
  <c r="H13" i="5"/>
  <c r="G13" i="5"/>
  <c r="F13" i="5"/>
  <c r="O16" i="5" l="1"/>
  <c r="O29" i="5" s="1"/>
  <c r="C16" i="5"/>
  <c r="B16" i="5"/>
  <c r="C17" i="5"/>
  <c r="B17" i="5"/>
  <c r="B29" i="5" l="1"/>
  <c r="C29" i="5"/>
  <c r="E17" i="5"/>
  <c r="E16" i="5"/>
  <c r="S16" i="5"/>
  <c r="S29" i="5" s="1"/>
  <c r="O50" i="5"/>
  <c r="Q49" i="5"/>
  <c r="Q48" i="5"/>
  <c r="Q47" i="5"/>
  <c r="Q46" i="5"/>
  <c r="Q45" i="5"/>
  <c r="Q44" i="5"/>
  <c r="Q43" i="5"/>
  <c r="Q42" i="5"/>
  <c r="R13" i="5"/>
  <c r="L13" i="5"/>
  <c r="K13" i="5"/>
  <c r="I13" i="5"/>
  <c r="E11" i="5"/>
  <c r="E29" i="5" l="1"/>
  <c r="R30" i="5" s="1"/>
  <c r="O13" i="5"/>
  <c r="S13" i="5" s="1"/>
  <c r="S11" i="5"/>
  <c r="Q50" i="5"/>
</calcChain>
</file>

<file path=xl/comments1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1500р-ремонт шиферной кровли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покос-488р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покос-488р
1200р-засыпка подвала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113336р-асфальт</t>
        </r>
      </text>
    </comment>
    <comment ref="N2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62,8р-тех.обслуживание ОДГО</t>
        </r>
      </text>
    </comment>
  </commentList>
</comments>
</file>

<file path=xl/sharedStrings.xml><?xml version="1.0" encoding="utf-8"?>
<sst xmlns="http://schemas.openxmlformats.org/spreadsheetml/2006/main" count="88" uniqueCount="79">
  <si>
    <t>Содержание</t>
  </si>
  <si>
    <t>январь</t>
  </si>
  <si>
    <t>март</t>
  </si>
  <si>
    <t>ремонт</t>
  </si>
  <si>
    <t>итого</t>
  </si>
  <si>
    <t>май</t>
  </si>
  <si>
    <t>июнь</t>
  </si>
  <si>
    <t>Наименование работ</t>
  </si>
  <si>
    <t>ИТОГО</t>
  </si>
  <si>
    <t>июль</t>
  </si>
  <si>
    <t>август</t>
  </si>
  <si>
    <t>сентябрь</t>
  </si>
  <si>
    <t>октябрь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</si>
  <si>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</si>
  <si>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</si>
  <si>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</si>
  <si>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</si>
  <si>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</si>
  <si>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</si>
  <si>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</si>
  <si>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</si>
  <si>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</si>
  <si>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</si>
  <si>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</si>
  <si>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</si>
  <si>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</si>
  <si>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</si>
  <si>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</si>
  <si>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</si>
  <si>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charset val="204"/>
      </rPr>
      <t>СОДЕРЖАНИ</t>
    </r>
    <r>
      <rPr>
        <sz val="8"/>
        <rFont val="Arial Cyr"/>
        <charset val="204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</si>
  <si>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</si>
  <si>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</si>
  <si>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</si>
  <si>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</si>
  <si>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</si>
  <si>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</si>
  <si>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</si>
  <si>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</si>
  <si>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</si>
  <si>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</si>
  <si>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</si>
  <si>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</si>
  <si>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</si>
  <si>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</si>
  <si>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</si>
  <si>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</si>
  <si>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</si>
  <si>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</si>
  <si>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</si>
  <si>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</si>
  <si>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</si>
  <si>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</si>
  <si>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</si>
  <si>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</si>
  <si>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</si>
  <si>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</si>
  <si>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</si>
  <si>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</si>
  <si>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</si>
  <si>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</si>
  <si>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</si>
  <si>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</si>
  <si>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</si>
  <si>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</si>
  <si>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</si>
  <si>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</si>
  <si>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__Вехова 61__на 2016год.</t>
  </si>
  <si>
    <t>ИТОГО:</t>
  </si>
  <si>
    <t>1500р</t>
  </si>
  <si>
    <t>ремонт шиферной крыши</t>
  </si>
  <si>
    <t>488р</t>
  </si>
  <si>
    <t>покос</t>
  </si>
  <si>
    <t>покос июль</t>
  </si>
  <si>
    <t>1200р</t>
  </si>
  <si>
    <t>засыпка подвала</t>
  </si>
  <si>
    <t>асфальт</t>
  </si>
  <si>
    <t>113336р</t>
  </si>
  <si>
    <t>62,8р</t>
  </si>
  <si>
    <t>тех.обслуживание ОДГО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</si>
</sst>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164" fontId="2" fillId="2" borderId="1" xfId="0" applyNumberFormat="1" applyFont="1" applyFill="1" applyBorder="1" applyAlignment="1"/>
    <xf numFmtId="2" fontId="0" fillId="0" borderId="1" xfId="0" applyNumberFormat="1" applyBorder="1"/>
    <xf numFmtId="0" fontId="0" fillId="0" borderId="1" xfId="0" applyBorder="1"/>
    <xf numFmtId="0" fontId="0" fillId="7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8" borderId="12" xfId="0" applyFont="1" applyFill="1" applyBorder="1" applyAlignment="1"/>
    <xf numFmtId="0" fontId="1" fillId="8" borderId="12" xfId="0" applyFont="1" applyFill="1" applyBorder="1" applyAlignment="1">
      <alignment wrapText="1"/>
    </xf>
    <xf numFmtId="2" fontId="3" fillId="8" borderId="12" xfId="0" applyNumberFormat="1" applyFont="1" applyFill="1" applyBorder="1" applyAlignment="1"/>
    <xf numFmtId="2" fontId="2" fillId="0" borderId="2" xfId="0" applyNumberFormat="1" applyFont="1" applyBorder="1" applyAlignment="1">
      <alignment horizontal="left" vertical="top" textRotation="90" wrapText="1"/>
    </xf>
    <xf numFmtId="0" fontId="13" fillId="8" borderId="1" xfId="0" applyNumberFormat="1" applyFont="1" applyFill="1" applyBorder="1" applyAlignment="1"/>
    <xf numFmtId="2" fontId="10" fillId="0" borderId="6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left" wrapText="1"/>
    </xf>
    <xf numFmtId="0" fontId="14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center" wrapText="1"/>
    </xf>
    <xf numFmtId="0" fontId="13" fillId="8" borderId="1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2" fontId="3" fillId="5" borderId="6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center"/>
    </xf>
    <xf numFmtId="2" fontId="2" fillId="9" borderId="6" xfId="0" applyNumberFormat="1" applyFont="1" applyFill="1" applyBorder="1" applyAlignment="1">
      <alignment horizontal="center" vertical="top" wrapText="1"/>
    </xf>
    <xf numFmtId="4" fontId="2" fillId="8" borderId="1" xfId="0" applyNumberFormat="1" applyFont="1" applyFill="1" applyBorder="1"/>
    <xf numFmtId="2" fontId="1" fillId="10" borderId="4" xfId="0" applyNumberFormat="1" applyFont="1" applyFill="1" applyBorder="1" applyAlignment="1">
      <alignment horizontal="center" vertical="top" wrapText="1"/>
    </xf>
    <xf numFmtId="2" fontId="2" fillId="10" borderId="7" xfId="0" applyNumberFormat="1" applyFont="1" applyFill="1" applyBorder="1" applyAlignment="1">
      <alignment horizontal="center" vertical="top" wrapText="1"/>
    </xf>
    <xf numFmtId="2" fontId="2" fillId="10" borderId="9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17" fontId="10" fillId="3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4" fontId="2" fillId="10" borderId="1" xfId="0" applyNumberFormat="1" applyFont="1" applyFill="1" applyBorder="1"/>
    <xf numFmtId="164" fontId="2" fillId="10" borderId="6" xfId="0" applyNumberFormat="1" applyFont="1" applyFill="1" applyBorder="1"/>
    <xf numFmtId="164" fontId="2" fillId="9" borderId="1" xfId="0" applyNumberFormat="1" applyFont="1" applyFill="1" applyBorder="1"/>
    <xf numFmtId="4" fontId="2" fillId="10" borderId="1" xfId="0" applyNumberFormat="1" applyFont="1" applyFill="1" applyBorder="1"/>
    <xf numFmtId="17" fontId="10" fillId="11" borderId="1" xfId="0" applyNumberFormat="1" applyFont="1" applyFill="1" applyBorder="1" applyAlignment="1">
      <alignment horizontal="left" wrapText="1"/>
    </xf>
    <xf numFmtId="0" fontId="10" fillId="5" borderId="1" xfId="0" applyFont="1" applyFill="1" applyBorder="1"/>
    <xf numFmtId="164" fontId="2" fillId="5" borderId="1" xfId="0" applyNumberFormat="1" applyFont="1" applyFill="1" applyBorder="1"/>
    <xf numFmtId="4" fontId="3" fillId="5" borderId="1" xfId="0" applyNumberFormat="1" applyFont="1" applyFill="1" applyBorder="1"/>
    <xf numFmtId="0" fontId="0" fillId="8" borderId="1" xfId="0" applyFill="1" applyBorder="1"/>
    <xf numFmtId="0" fontId="0" fillId="8" borderId="4" xfId="0" applyFill="1" applyBorder="1"/>
    <xf numFmtId="0" fontId="0" fillId="0" borderId="4" xfId="0" applyBorder="1"/>
    <xf numFmtId="0" fontId="0" fillId="0" borderId="0" xfId="0" applyBorder="1" applyAlignment="1">
      <alignment horizontal="center"/>
    </xf>
    <xf numFmtId="2" fontId="0" fillId="0" borderId="8" xfId="0" applyNumberFormat="1" applyBorder="1"/>
    <xf numFmtId="2" fontId="0" fillId="0" borderId="8" xfId="0" applyNumberFormat="1" applyBorder="1" applyAlignment="1"/>
    <xf numFmtId="164" fontId="2" fillId="4" borderId="1" xfId="0" applyNumberFormat="1" applyFont="1" applyFill="1" applyBorder="1"/>
    <xf numFmtId="0" fontId="2" fillId="0" borderId="6" xfId="0" applyFont="1" applyBorder="1" applyAlignment="1">
      <alignment horizontal="left"/>
    </xf>
    <xf numFmtId="0" fontId="10" fillId="0" borderId="0" xfId="0" applyFont="1" applyFill="1" applyBorder="1"/>
    <xf numFmtId="164" fontId="2" fillId="0" borderId="0" xfId="0" applyNumberFormat="1" applyFont="1" applyFill="1" applyBorder="1"/>
    <xf numFmtId="4" fontId="3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/>
    <xf numFmtId="164" fontId="5" fillId="5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12" fillId="0" borderId="2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textRotation="90" wrapText="1"/>
    </xf>
    <xf numFmtId="0" fontId="0" fillId="0" borderId="6" xfId="0" applyBorder="1" applyAlignment="1">
      <alignment horizontal="left"/>
    </xf>
    <xf numFmtId="0" fontId="1" fillId="9" borderId="4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0" fillId="0" borderId="6" xfId="0" applyBorder="1"/>
    <xf numFmtId="2" fontId="3" fillId="0" borderId="4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2" fontId="1" fillId="10" borderId="4" xfId="0" applyNumberFormat="1" applyFont="1" applyFill="1" applyBorder="1" applyAlignment="1">
      <alignment horizontal="center" vertical="top" wrapText="1"/>
    </xf>
    <xf numFmtId="2" fontId="2" fillId="10" borderId="7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4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S50"/>
  <sheetViews>
    <sheetView tabSelected="1" zoomScaleNormal="100" workbookViewId="0">
      <selection activeCell="J33" sqref="J33"/>
    </sheetView>
  </sheetViews>
  <sheetFormatPr defaultRowHeight="12.75" x14ac:dyDescent="0.2"/>
  <cols>
    <col min="1" max="1" width="6.5703125" customWidth="1"/>
    <col min="4" max="4" width="6" customWidth="1"/>
    <col min="5" max="5" width="9.7109375" customWidth="1"/>
    <col min="9" max="9" width="7.42578125" customWidth="1"/>
    <col min="10" max="10" width="9.5703125" customWidth="1"/>
    <col min="11" max="11" width="0.140625" hidden="1" customWidth="1"/>
    <col min="12" max="12" width="6.28515625" hidden="1" customWidth="1"/>
    <col min="14" max="14" width="8.5703125" customWidth="1"/>
    <col min="15" max="15" width="9.7109375" customWidth="1"/>
    <col min="18" max="18" width="7.28515625" customWidth="1"/>
  </cols>
  <sheetData>
    <row r="4" spans="1:19" ht="15.75" x14ac:dyDescent="0.25">
      <c r="A4" s="63" t="s">
        <v>66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2">
      <c r="A6" s="64"/>
      <c r="B6" s="58"/>
      <c r="C6" s="58"/>
      <c r="D6" s="58"/>
      <c r="E6" s="59"/>
      <c r="F6" s="62" t="s">
        <v>14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3"/>
    </row>
    <row r="7" spans="1:19" x14ac:dyDescent="0.2">
      <c r="A7" s="7"/>
      <c r="B7" s="65" t="s">
        <v>15</v>
      </c>
      <c r="C7" s="65"/>
      <c r="D7" s="65"/>
      <c r="E7" s="65"/>
      <c r="F7" s="66" t="s">
        <v>0</v>
      </c>
      <c r="G7" s="67"/>
      <c r="H7" s="67"/>
      <c r="I7" s="67"/>
      <c r="J7" s="67"/>
      <c r="K7" s="67"/>
      <c r="L7" s="67"/>
      <c r="M7" s="67"/>
      <c r="N7" s="67"/>
      <c r="O7" s="68"/>
      <c r="P7" s="69" t="s">
        <v>16</v>
      </c>
      <c r="Q7" s="70"/>
      <c r="R7" s="73" t="s">
        <v>17</v>
      </c>
      <c r="S7" s="76" t="s">
        <v>8</v>
      </c>
    </row>
    <row r="8" spans="1:19" x14ac:dyDescent="0.2">
      <c r="A8" s="8"/>
      <c r="B8" s="79" t="s">
        <v>18</v>
      </c>
      <c r="C8" s="79" t="s">
        <v>3</v>
      </c>
      <c r="D8" s="79" t="s">
        <v>19</v>
      </c>
      <c r="E8" s="88" t="s">
        <v>4</v>
      </c>
      <c r="F8" s="86" t="s">
        <v>20</v>
      </c>
      <c r="G8" s="86" t="s">
        <v>21</v>
      </c>
      <c r="H8" s="86" t="s">
        <v>22</v>
      </c>
      <c r="I8" s="86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1" t="s">
        <v>29</v>
      </c>
      <c r="P8" s="71"/>
      <c r="Q8" s="72"/>
      <c r="R8" s="74"/>
      <c r="S8" s="77"/>
    </row>
    <row r="9" spans="1:19" ht="129.75" x14ac:dyDescent="0.2">
      <c r="A9" s="9"/>
      <c r="B9" s="80"/>
      <c r="C9" s="80"/>
      <c r="D9" s="80"/>
      <c r="E9" s="89"/>
      <c r="F9" s="90"/>
      <c r="G9" s="87"/>
      <c r="H9" s="87"/>
      <c r="I9" s="87"/>
      <c r="J9" s="87"/>
      <c r="K9" s="87"/>
      <c r="L9" s="87"/>
      <c r="M9" s="87"/>
      <c r="N9" s="87"/>
      <c r="O9" s="82"/>
      <c r="P9" s="10" t="s">
        <v>30</v>
      </c>
      <c r="Q9" s="10" t="s">
        <v>31</v>
      </c>
      <c r="R9" s="75"/>
      <c r="S9" s="78"/>
    </row>
    <row r="10" spans="1:19" ht="15" x14ac:dyDescent="0.25">
      <c r="A10" s="11">
        <v>2015</v>
      </c>
      <c r="B10" s="12">
        <v>6</v>
      </c>
      <c r="C10" s="12">
        <v>6</v>
      </c>
      <c r="D10" s="12">
        <v>0</v>
      </c>
      <c r="E10" s="13">
        <v>12</v>
      </c>
      <c r="F10" s="48">
        <v>1.0900000000000001</v>
      </c>
      <c r="G10" s="14">
        <v>2.33</v>
      </c>
      <c r="H10" s="14">
        <v>1.45</v>
      </c>
      <c r="I10" s="14">
        <v>0</v>
      </c>
      <c r="J10" s="14">
        <v>1.97</v>
      </c>
      <c r="K10" s="14">
        <v>0</v>
      </c>
      <c r="L10" s="14">
        <v>0</v>
      </c>
      <c r="M10" s="14">
        <v>1.83</v>
      </c>
      <c r="N10" s="14">
        <v>0</v>
      </c>
      <c r="O10" s="15">
        <f>SUM(F10:N10)</f>
        <v>8.67</v>
      </c>
      <c r="P10" s="91">
        <v>0.79</v>
      </c>
      <c r="Q10" s="92"/>
      <c r="R10" s="16">
        <v>0.43</v>
      </c>
      <c r="S10" s="17">
        <f>O10+P10+R10</f>
        <v>9.89</v>
      </c>
    </row>
    <row r="11" spans="1:19" ht="15" x14ac:dyDescent="0.25">
      <c r="A11" s="18">
        <v>2016</v>
      </c>
      <c r="B11" s="19">
        <v>10</v>
      </c>
      <c r="C11" s="19">
        <v>2</v>
      </c>
      <c r="D11" s="19">
        <v>0</v>
      </c>
      <c r="E11" s="24">
        <f>SUM(B11:D11)</f>
        <v>12</v>
      </c>
      <c r="F11" s="54">
        <v>1.2</v>
      </c>
      <c r="G11" s="54">
        <v>1.5</v>
      </c>
      <c r="H11" s="54">
        <v>1.6</v>
      </c>
      <c r="I11" s="54">
        <v>0</v>
      </c>
      <c r="J11" s="54">
        <v>1.5</v>
      </c>
      <c r="K11" s="54">
        <v>0</v>
      </c>
      <c r="L11" s="54">
        <v>0</v>
      </c>
      <c r="M11" s="54">
        <v>2.2000000000000002</v>
      </c>
      <c r="N11" s="54">
        <v>2</v>
      </c>
      <c r="O11" s="20">
        <f>SUM(F11:N11)</f>
        <v>10</v>
      </c>
      <c r="P11" s="21">
        <v>1</v>
      </c>
      <c r="Q11" s="21">
        <v>1</v>
      </c>
      <c r="R11" s="22">
        <v>0</v>
      </c>
      <c r="S11" s="23">
        <f>SUM(O11:R11)</f>
        <v>12</v>
      </c>
    </row>
    <row r="12" spans="1:19" ht="22.5" x14ac:dyDescent="0.2">
      <c r="A12" s="93" t="s">
        <v>32</v>
      </c>
      <c r="B12" s="93"/>
      <c r="C12" s="93"/>
      <c r="D12" s="93"/>
      <c r="E12" s="24">
        <v>1033.2</v>
      </c>
      <c r="F12" s="94" t="s">
        <v>33</v>
      </c>
      <c r="G12" s="95"/>
      <c r="H12" s="95"/>
      <c r="I12" s="95"/>
      <c r="J12" s="95"/>
      <c r="K12" s="95"/>
      <c r="L12" s="95"/>
      <c r="M12" s="95"/>
      <c r="N12" s="96"/>
      <c r="O12" s="23"/>
      <c r="P12" s="97" t="s">
        <v>34</v>
      </c>
      <c r="Q12" s="98"/>
      <c r="R12" s="23" t="s">
        <v>35</v>
      </c>
      <c r="S12" s="23"/>
    </row>
    <row r="13" spans="1:19" x14ac:dyDescent="0.2">
      <c r="A13" s="83" t="s">
        <v>36</v>
      </c>
      <c r="B13" s="84"/>
      <c r="C13" s="84"/>
      <c r="D13" s="84"/>
      <c r="E13" s="85"/>
      <c r="F13" s="25">
        <f>E12*F11</f>
        <v>1239.8399999999999</v>
      </c>
      <c r="G13" s="25">
        <f>E12*G11</f>
        <v>1549.8000000000002</v>
      </c>
      <c r="H13" s="25">
        <f>E12*H11</f>
        <v>1653.1200000000001</v>
      </c>
      <c r="I13" s="25">
        <f t="shared" ref="I13:R13" si="0">SUM(I11*2487)</f>
        <v>0</v>
      </c>
      <c r="J13" s="25">
        <f>E12*J11</f>
        <v>1549.8000000000002</v>
      </c>
      <c r="K13" s="25">
        <f t="shared" si="0"/>
        <v>0</v>
      </c>
      <c r="L13" s="25">
        <f t="shared" si="0"/>
        <v>0</v>
      </c>
      <c r="M13" s="25">
        <f>E12*M11</f>
        <v>2273.0400000000004</v>
      </c>
      <c r="N13" s="25">
        <f>E12*N11</f>
        <v>2066.4</v>
      </c>
      <c r="O13" s="25">
        <f>SUM(F13:N13)</f>
        <v>10332</v>
      </c>
      <c r="P13" s="25">
        <f>E12*P11</f>
        <v>1033.2</v>
      </c>
      <c r="Q13" s="25">
        <f>E12*Q11</f>
        <v>1033.2</v>
      </c>
      <c r="R13" s="25">
        <f t="shared" si="0"/>
        <v>0</v>
      </c>
      <c r="S13" s="25">
        <f>O13+P13+Q13</f>
        <v>12398.400000000001</v>
      </c>
    </row>
    <row r="14" spans="1:19" x14ac:dyDescent="0.2">
      <c r="A14" s="99" t="s">
        <v>37</v>
      </c>
      <c r="B14" s="99"/>
      <c r="C14" s="99"/>
      <c r="D14" s="99"/>
      <c r="E14" s="100"/>
      <c r="F14" s="101" t="s">
        <v>38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</row>
    <row r="15" spans="1:19" x14ac:dyDescent="0.2">
      <c r="A15" s="104" t="s">
        <v>39</v>
      </c>
      <c r="B15" s="104"/>
      <c r="C15" s="104"/>
      <c r="D15" s="105"/>
      <c r="E15" s="26">
        <v>136265.39000000001</v>
      </c>
      <c r="F15" s="27"/>
      <c r="G15" s="28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</row>
    <row r="16" spans="1:19" x14ac:dyDescent="0.2">
      <c r="A16" s="31" t="s">
        <v>40</v>
      </c>
      <c r="B16" s="32">
        <f>3819+2035.2</f>
        <v>5854.2</v>
      </c>
      <c r="C16" s="32">
        <f>3819+2035.2</f>
        <v>5854.2</v>
      </c>
      <c r="D16" s="32">
        <v>0</v>
      </c>
      <c r="E16" s="1">
        <f t="shared" ref="E16:E27" si="1">B16+C16+D16</f>
        <v>11708.4</v>
      </c>
      <c r="F16" s="33">
        <f>E12*F11</f>
        <v>1239.8399999999999</v>
      </c>
      <c r="G16" s="33">
        <f>E12*G11</f>
        <v>1549.8000000000002</v>
      </c>
      <c r="H16" s="34">
        <f>E12*H11</f>
        <v>1653.1200000000001</v>
      </c>
      <c r="I16" s="33">
        <v>0</v>
      </c>
      <c r="J16" s="33">
        <f>E12*J11</f>
        <v>1549.8000000000002</v>
      </c>
      <c r="K16" s="33">
        <v>0</v>
      </c>
      <c r="L16" s="33">
        <v>0</v>
      </c>
      <c r="M16" s="33">
        <f>E12*M11</f>
        <v>2273.0400000000004</v>
      </c>
      <c r="N16" s="33">
        <v>1500</v>
      </c>
      <c r="O16" s="47">
        <f t="shared" ref="O16:O27" si="2">SUM(F16:N16)</f>
        <v>9765.6</v>
      </c>
      <c r="P16" s="35">
        <v>0</v>
      </c>
      <c r="Q16" s="35">
        <v>0</v>
      </c>
      <c r="R16" s="33">
        <v>0</v>
      </c>
      <c r="S16" s="36">
        <f t="shared" ref="S16:S27" si="3">O16+P16+Q16+R16</f>
        <v>9765.6</v>
      </c>
    </row>
    <row r="17" spans="1:19" x14ac:dyDescent="0.2">
      <c r="A17" s="31" t="s">
        <v>41</v>
      </c>
      <c r="B17" s="32">
        <f>4165.2+2446.2</f>
        <v>6611.4</v>
      </c>
      <c r="C17" s="32">
        <f>4165.2+2446.2</f>
        <v>6611.4</v>
      </c>
      <c r="D17" s="32">
        <v>0</v>
      </c>
      <c r="E17" s="1">
        <f t="shared" si="1"/>
        <v>13222.8</v>
      </c>
      <c r="F17" s="33">
        <v>1239.8399999999999</v>
      </c>
      <c r="G17" s="33">
        <v>1549.8</v>
      </c>
      <c r="H17" s="34">
        <v>1653.12</v>
      </c>
      <c r="I17" s="33">
        <v>0</v>
      </c>
      <c r="J17" s="33">
        <v>1549.8</v>
      </c>
      <c r="K17" s="33">
        <v>0</v>
      </c>
      <c r="L17" s="33">
        <v>0</v>
      </c>
      <c r="M17" s="33">
        <v>2273.04</v>
      </c>
      <c r="N17" s="33">
        <v>0</v>
      </c>
      <c r="O17" s="47">
        <f t="shared" si="2"/>
        <v>8265.6</v>
      </c>
      <c r="P17" s="35">
        <v>1550</v>
      </c>
      <c r="Q17" s="35">
        <v>0</v>
      </c>
      <c r="R17" s="33">
        <v>0</v>
      </c>
      <c r="S17" s="36">
        <f t="shared" si="3"/>
        <v>9815.6</v>
      </c>
    </row>
    <row r="18" spans="1:19" x14ac:dyDescent="0.2">
      <c r="A18" s="31" t="s">
        <v>2</v>
      </c>
      <c r="B18" s="32">
        <f>4296.6+1659.6</f>
        <v>5956.2000000000007</v>
      </c>
      <c r="C18" s="32">
        <f>4296.6+1659.6</f>
        <v>5956.2000000000007</v>
      </c>
      <c r="D18" s="32">
        <v>0</v>
      </c>
      <c r="E18" s="1">
        <f t="shared" si="1"/>
        <v>11912.400000000001</v>
      </c>
      <c r="F18" s="33">
        <v>1239.8399999999999</v>
      </c>
      <c r="G18" s="33">
        <v>1549.8</v>
      </c>
      <c r="H18" s="34">
        <v>1653.12</v>
      </c>
      <c r="I18" s="33">
        <v>0</v>
      </c>
      <c r="J18" s="33">
        <v>1549.8</v>
      </c>
      <c r="K18" s="33">
        <v>0</v>
      </c>
      <c r="L18" s="33">
        <v>0</v>
      </c>
      <c r="M18" s="33">
        <v>2273.04</v>
      </c>
      <c r="N18" s="33">
        <v>0</v>
      </c>
      <c r="O18" s="47">
        <f t="shared" si="2"/>
        <v>8265.6</v>
      </c>
      <c r="P18" s="35">
        <v>0</v>
      </c>
      <c r="Q18" s="35">
        <v>0</v>
      </c>
      <c r="R18" s="33">
        <v>0</v>
      </c>
      <c r="S18" s="36">
        <f t="shared" si="3"/>
        <v>8265.6</v>
      </c>
    </row>
    <row r="19" spans="1:19" x14ac:dyDescent="0.2">
      <c r="A19" s="31" t="s">
        <v>42</v>
      </c>
      <c r="B19" s="32">
        <f>4058.4+2139.6</f>
        <v>6198</v>
      </c>
      <c r="C19" s="32">
        <f>4058.4+1899</f>
        <v>5957.4</v>
      </c>
      <c r="D19" s="32">
        <v>0</v>
      </c>
      <c r="E19" s="1">
        <f t="shared" si="1"/>
        <v>12155.4</v>
      </c>
      <c r="F19" s="33">
        <v>1239.8399999999999</v>
      </c>
      <c r="G19" s="33">
        <v>1549.8</v>
      </c>
      <c r="H19" s="34">
        <v>1653.12</v>
      </c>
      <c r="I19" s="33">
        <v>0</v>
      </c>
      <c r="J19" s="33">
        <v>1549.8</v>
      </c>
      <c r="K19" s="33">
        <v>0</v>
      </c>
      <c r="L19" s="33">
        <v>0</v>
      </c>
      <c r="M19" s="33">
        <v>2273.04</v>
      </c>
      <c r="N19" s="33">
        <v>0</v>
      </c>
      <c r="O19" s="47">
        <f t="shared" si="2"/>
        <v>8265.6</v>
      </c>
      <c r="P19" s="35">
        <v>1967</v>
      </c>
      <c r="Q19" s="35">
        <v>0</v>
      </c>
      <c r="R19" s="33">
        <v>0</v>
      </c>
      <c r="S19" s="36">
        <f t="shared" si="3"/>
        <v>10232.6</v>
      </c>
    </row>
    <row r="20" spans="1:19" x14ac:dyDescent="0.2">
      <c r="A20" s="31" t="s">
        <v>5</v>
      </c>
      <c r="B20" s="32">
        <f>4012.8+1351.8</f>
        <v>5364.6</v>
      </c>
      <c r="C20" s="32">
        <f>4012.8+1592.4</f>
        <v>5605.2000000000007</v>
      </c>
      <c r="D20" s="32">
        <v>0</v>
      </c>
      <c r="E20" s="1">
        <f t="shared" si="1"/>
        <v>10969.800000000001</v>
      </c>
      <c r="F20" s="33">
        <v>1239.8399999999999</v>
      </c>
      <c r="G20" s="33">
        <v>1549.8</v>
      </c>
      <c r="H20" s="34">
        <v>1653.12</v>
      </c>
      <c r="I20" s="33">
        <v>0</v>
      </c>
      <c r="J20" s="33">
        <v>1549.8</v>
      </c>
      <c r="K20" s="33">
        <v>0</v>
      </c>
      <c r="L20" s="33">
        <v>0</v>
      </c>
      <c r="M20" s="33">
        <v>2273.04</v>
      </c>
      <c r="N20" s="33">
        <v>488</v>
      </c>
      <c r="O20" s="47">
        <f t="shared" si="2"/>
        <v>8753.6</v>
      </c>
      <c r="P20" s="35">
        <v>823</v>
      </c>
      <c r="Q20" s="35">
        <v>0</v>
      </c>
      <c r="R20" s="33">
        <v>0</v>
      </c>
      <c r="S20" s="36">
        <f t="shared" si="3"/>
        <v>9576.6</v>
      </c>
    </row>
    <row r="21" spans="1:19" x14ac:dyDescent="0.2">
      <c r="A21" s="31" t="s">
        <v>6</v>
      </c>
      <c r="B21" s="32">
        <f>4054.2+1833.6</f>
        <v>5887.7999999999993</v>
      </c>
      <c r="C21" s="32">
        <f>4054.2+1833.6</f>
        <v>5887.7999999999993</v>
      </c>
      <c r="D21" s="32">
        <v>0</v>
      </c>
      <c r="E21" s="1">
        <f t="shared" si="1"/>
        <v>11775.599999999999</v>
      </c>
      <c r="F21" s="33">
        <v>1239.8399999999999</v>
      </c>
      <c r="G21" s="33">
        <v>1549.8</v>
      </c>
      <c r="H21" s="34">
        <v>1653.12</v>
      </c>
      <c r="I21" s="33">
        <v>0</v>
      </c>
      <c r="J21" s="33">
        <v>1549.8</v>
      </c>
      <c r="K21" s="33">
        <v>0</v>
      </c>
      <c r="L21" s="33">
        <v>0</v>
      </c>
      <c r="M21" s="33">
        <v>2273.04</v>
      </c>
      <c r="N21" s="33">
        <v>0</v>
      </c>
      <c r="O21" s="47">
        <f t="shared" si="2"/>
        <v>8265.6</v>
      </c>
      <c r="P21" s="35">
        <f>410+1269</f>
        <v>1679</v>
      </c>
      <c r="Q21" s="35">
        <v>0</v>
      </c>
      <c r="R21" s="33">
        <v>0</v>
      </c>
      <c r="S21" s="36">
        <f t="shared" si="3"/>
        <v>9944.6</v>
      </c>
    </row>
    <row r="22" spans="1:19" x14ac:dyDescent="0.2">
      <c r="A22" s="31" t="s">
        <v>9</v>
      </c>
      <c r="B22" s="32">
        <f>3453+1767.6</f>
        <v>5220.6000000000004</v>
      </c>
      <c r="C22" s="32">
        <f>3453+1767.6</f>
        <v>5220.6000000000004</v>
      </c>
      <c r="D22" s="32">
        <v>0</v>
      </c>
      <c r="E22" s="1">
        <f t="shared" si="1"/>
        <v>10441.200000000001</v>
      </c>
      <c r="F22" s="33">
        <v>1239.8399999999999</v>
      </c>
      <c r="G22" s="33">
        <v>1549.8</v>
      </c>
      <c r="H22" s="34">
        <v>1653.12</v>
      </c>
      <c r="I22" s="33">
        <v>0</v>
      </c>
      <c r="J22" s="33">
        <v>1549.8</v>
      </c>
      <c r="K22" s="33">
        <v>0</v>
      </c>
      <c r="L22" s="33">
        <v>0</v>
      </c>
      <c r="M22" s="33">
        <v>2273.04</v>
      </c>
      <c r="N22" s="33">
        <v>0</v>
      </c>
      <c r="O22" s="47">
        <f t="shared" si="2"/>
        <v>8265.6</v>
      </c>
      <c r="P22" s="35">
        <v>0</v>
      </c>
      <c r="Q22" s="35">
        <v>0</v>
      </c>
      <c r="R22" s="33">
        <v>0</v>
      </c>
      <c r="S22" s="36">
        <f t="shared" si="3"/>
        <v>8265.6</v>
      </c>
    </row>
    <row r="23" spans="1:19" x14ac:dyDescent="0.2">
      <c r="A23" s="31" t="s">
        <v>10</v>
      </c>
      <c r="B23" s="32">
        <f>7035+717</f>
        <v>7752</v>
      </c>
      <c r="C23" s="32">
        <f>7035+717</f>
        <v>7752</v>
      </c>
      <c r="D23" s="32">
        <v>0</v>
      </c>
      <c r="E23" s="1">
        <f t="shared" si="1"/>
        <v>15504</v>
      </c>
      <c r="F23" s="33">
        <v>1239.8399999999999</v>
      </c>
      <c r="G23" s="33">
        <v>1549.8</v>
      </c>
      <c r="H23" s="34">
        <v>1653.12</v>
      </c>
      <c r="I23" s="33">
        <v>0</v>
      </c>
      <c r="J23" s="33">
        <v>1549.8</v>
      </c>
      <c r="K23" s="33">
        <v>0</v>
      </c>
      <c r="L23" s="33">
        <v>0</v>
      </c>
      <c r="M23" s="33">
        <v>2273.04</v>
      </c>
      <c r="N23" s="33">
        <f>488+1200</f>
        <v>1688</v>
      </c>
      <c r="O23" s="47">
        <f t="shared" si="2"/>
        <v>9953.6</v>
      </c>
      <c r="P23" s="35">
        <v>410</v>
      </c>
      <c r="Q23" s="35">
        <v>0</v>
      </c>
      <c r="R23" s="33">
        <v>0</v>
      </c>
      <c r="S23" s="36">
        <f t="shared" si="3"/>
        <v>10363.6</v>
      </c>
    </row>
    <row r="24" spans="1:19" x14ac:dyDescent="0.2">
      <c r="A24" s="31" t="s">
        <v>43</v>
      </c>
      <c r="B24" s="32">
        <f>4093.77+1247.4</f>
        <v>5341.17</v>
      </c>
      <c r="C24" s="32">
        <f>4093.2+1247.4</f>
        <v>5340.6</v>
      </c>
      <c r="D24" s="32">
        <v>0</v>
      </c>
      <c r="E24" s="1">
        <f t="shared" si="1"/>
        <v>10681.77</v>
      </c>
      <c r="F24" s="33">
        <v>1239.8399999999999</v>
      </c>
      <c r="G24" s="33">
        <v>1549.8</v>
      </c>
      <c r="H24" s="34">
        <v>1653.12</v>
      </c>
      <c r="I24" s="33">
        <v>0</v>
      </c>
      <c r="J24" s="33">
        <v>1549.8</v>
      </c>
      <c r="K24" s="33"/>
      <c r="L24" s="33"/>
      <c r="M24" s="33">
        <v>2273.04</v>
      </c>
      <c r="N24" s="55">
        <v>113336</v>
      </c>
      <c r="O24" s="47">
        <f t="shared" si="2"/>
        <v>121601.60000000001</v>
      </c>
      <c r="P24" s="35">
        <v>0</v>
      </c>
      <c r="Q24" s="35">
        <v>0</v>
      </c>
      <c r="R24" s="33">
        <v>0</v>
      </c>
      <c r="S24" s="36">
        <f t="shared" si="3"/>
        <v>121601.60000000001</v>
      </c>
    </row>
    <row r="25" spans="1:19" x14ac:dyDescent="0.2">
      <c r="A25" s="31" t="s">
        <v>44</v>
      </c>
      <c r="B25" s="32">
        <f>6947+1165.2</f>
        <v>8112.2</v>
      </c>
      <c r="C25" s="32">
        <f>6947.4+1165.2</f>
        <v>8112.5999999999995</v>
      </c>
      <c r="D25" s="32">
        <v>0</v>
      </c>
      <c r="E25" s="1">
        <f t="shared" si="1"/>
        <v>16224.8</v>
      </c>
      <c r="F25" s="33">
        <v>1239.8399999999999</v>
      </c>
      <c r="G25" s="33">
        <v>1549.8</v>
      </c>
      <c r="H25" s="34">
        <v>1653.12</v>
      </c>
      <c r="I25" s="33">
        <v>0</v>
      </c>
      <c r="J25" s="33">
        <v>1549.8</v>
      </c>
      <c r="K25" s="33">
        <v>1549.8</v>
      </c>
      <c r="L25" s="33">
        <v>1549.8</v>
      </c>
      <c r="M25" s="33">
        <v>2273.04</v>
      </c>
      <c r="N25" s="55">
        <v>62.8</v>
      </c>
      <c r="O25" s="47">
        <f t="shared" si="2"/>
        <v>11428</v>
      </c>
      <c r="P25" s="35">
        <v>2675</v>
      </c>
      <c r="Q25" s="35">
        <v>0</v>
      </c>
      <c r="R25" s="33">
        <v>0</v>
      </c>
      <c r="S25" s="36">
        <f t="shared" si="3"/>
        <v>14103</v>
      </c>
    </row>
    <row r="26" spans="1:19" x14ac:dyDescent="0.2">
      <c r="A26" s="31" t="s">
        <v>45</v>
      </c>
      <c r="B26" s="32">
        <f>5002.63+1165.2</f>
        <v>6167.83</v>
      </c>
      <c r="C26" s="32">
        <f>5003.75+1165.2</f>
        <v>6168.95</v>
      </c>
      <c r="D26" s="32">
        <v>0</v>
      </c>
      <c r="E26" s="1">
        <f t="shared" si="1"/>
        <v>12336.779999999999</v>
      </c>
      <c r="F26" s="33">
        <v>1239.8399999999999</v>
      </c>
      <c r="G26" s="33">
        <v>1549.8</v>
      </c>
      <c r="H26" s="34">
        <v>1653.12</v>
      </c>
      <c r="I26" s="33">
        <v>0</v>
      </c>
      <c r="J26" s="33">
        <v>1549.8</v>
      </c>
      <c r="K26" s="33"/>
      <c r="L26" s="33"/>
      <c r="M26" s="33">
        <v>2273.04</v>
      </c>
      <c r="N26" s="55">
        <v>0</v>
      </c>
      <c r="O26" s="47">
        <f t="shared" si="2"/>
        <v>8265.6</v>
      </c>
      <c r="P26" s="35">
        <v>0</v>
      </c>
      <c r="Q26" s="35">
        <v>0</v>
      </c>
      <c r="R26" s="33">
        <v>0</v>
      </c>
      <c r="S26" s="36">
        <f t="shared" si="3"/>
        <v>8265.6</v>
      </c>
    </row>
    <row r="27" spans="1:19" x14ac:dyDescent="0.2">
      <c r="A27" s="31" t="s">
        <v>46</v>
      </c>
      <c r="B27" s="32">
        <f>4468.8+820.2</f>
        <v>5289</v>
      </c>
      <c r="C27" s="32">
        <f>4467.85+820.2</f>
        <v>5288.05</v>
      </c>
      <c r="D27" s="32">
        <v>0</v>
      </c>
      <c r="E27" s="1">
        <f t="shared" si="1"/>
        <v>10577.05</v>
      </c>
      <c r="F27" s="33">
        <v>1239.8399999999999</v>
      </c>
      <c r="G27" s="33">
        <v>1549.8</v>
      </c>
      <c r="H27" s="34">
        <v>1653.12</v>
      </c>
      <c r="I27" s="33">
        <v>0</v>
      </c>
      <c r="J27" s="33">
        <v>1549.8</v>
      </c>
      <c r="K27" s="33"/>
      <c r="L27" s="33"/>
      <c r="M27" s="33">
        <v>2273.04</v>
      </c>
      <c r="N27" s="55">
        <v>0</v>
      </c>
      <c r="O27" s="47">
        <f t="shared" si="2"/>
        <v>8265.6</v>
      </c>
      <c r="P27" s="35">
        <v>0</v>
      </c>
      <c r="Q27" s="35">
        <v>0</v>
      </c>
      <c r="R27" s="33">
        <v>0</v>
      </c>
      <c r="S27" s="36">
        <f t="shared" si="3"/>
        <v>8265.6</v>
      </c>
    </row>
    <row r="28" spans="1:19" ht="24" x14ac:dyDescent="0.2">
      <c r="A28" s="37" t="s">
        <v>47</v>
      </c>
      <c r="B28" s="32">
        <f>900+900+900+900</f>
        <v>3600</v>
      </c>
      <c r="C28" s="32">
        <v>0</v>
      </c>
      <c r="D28" s="32">
        <v>0</v>
      </c>
      <c r="E28" s="32">
        <f>B28+C28+D28</f>
        <v>3600</v>
      </c>
      <c r="F28" s="33"/>
      <c r="G28" s="33"/>
      <c r="H28" s="33"/>
      <c r="I28" s="33"/>
      <c r="J28" s="33"/>
      <c r="K28" s="33"/>
      <c r="L28" s="33"/>
      <c r="M28" s="33"/>
      <c r="N28" s="55"/>
      <c r="O28" s="47"/>
      <c r="P28" s="35"/>
      <c r="Q28" s="35"/>
      <c r="R28" s="33"/>
      <c r="S28" s="36"/>
    </row>
    <row r="29" spans="1:19" x14ac:dyDescent="0.2">
      <c r="A29" s="38" t="s">
        <v>4</v>
      </c>
      <c r="B29" s="39">
        <f>SUM(B16:B28)</f>
        <v>77354.999999999985</v>
      </c>
      <c r="C29" s="39">
        <f>SUM(C16:C28)</f>
        <v>73755</v>
      </c>
      <c r="D29" s="39">
        <f>SUM(D16:D28)</f>
        <v>0</v>
      </c>
      <c r="E29" s="39">
        <f>SUM(E15:E28)</f>
        <v>287375.38999999996</v>
      </c>
      <c r="F29" s="39">
        <f>SUM(F16:F28)</f>
        <v>14878.08</v>
      </c>
      <c r="G29" s="39">
        <f>SUM(G16:G28)</f>
        <v>18597.599999999999</v>
      </c>
      <c r="H29" s="39">
        <f>SUM(H16:H28)</f>
        <v>19837.439999999991</v>
      </c>
      <c r="I29" s="39">
        <f>SUM(I16:I28)</f>
        <v>0</v>
      </c>
      <c r="J29" s="39">
        <f>SUM(J16:J28)</f>
        <v>18597.599999999999</v>
      </c>
      <c r="K29" s="39"/>
      <c r="L29" s="39"/>
      <c r="M29" s="39">
        <f t="shared" ref="M29:S29" si="4">SUM(M16:M28)</f>
        <v>27276.480000000007</v>
      </c>
      <c r="N29" s="56">
        <f t="shared" si="4"/>
        <v>117074.8</v>
      </c>
      <c r="O29" s="39">
        <f t="shared" si="4"/>
        <v>219361.60000000003</v>
      </c>
      <c r="P29" s="39">
        <f t="shared" si="4"/>
        <v>9104</v>
      </c>
      <c r="Q29" s="39">
        <f t="shared" si="4"/>
        <v>0</v>
      </c>
      <c r="R29" s="39">
        <f t="shared" si="4"/>
        <v>0</v>
      </c>
      <c r="S29" s="40">
        <f t="shared" si="4"/>
        <v>228465.60000000003</v>
      </c>
    </row>
    <row r="30" spans="1:19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2" t="s">
        <v>67</v>
      </c>
      <c r="R30" s="117">
        <f>E29-S29</f>
        <v>58909.789999999921</v>
      </c>
      <c r="S30" s="117"/>
    </row>
    <row r="31" spans="1:19" x14ac:dyDescent="0.2">
      <c r="A31" s="49"/>
      <c r="B31" s="50" t="s">
        <v>1</v>
      </c>
      <c r="C31" s="50" t="s">
        <v>68</v>
      </c>
      <c r="D31" s="50" t="s">
        <v>69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2"/>
      <c r="R31" s="53"/>
      <c r="S31" s="53"/>
    </row>
    <row r="32" spans="1:19" x14ac:dyDescent="0.2">
      <c r="A32" s="49"/>
      <c r="B32" s="50" t="s">
        <v>5</v>
      </c>
      <c r="C32" s="50" t="s">
        <v>70</v>
      </c>
      <c r="D32" s="50" t="s">
        <v>71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2"/>
      <c r="R32" s="53"/>
      <c r="S32" s="53"/>
    </row>
    <row r="33" spans="1:19" x14ac:dyDescent="0.2">
      <c r="A33" s="49"/>
      <c r="B33" s="50" t="s">
        <v>10</v>
      </c>
      <c r="C33" s="50" t="s">
        <v>70</v>
      </c>
      <c r="D33" s="50" t="s">
        <v>72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</row>
    <row r="34" spans="1:19" x14ac:dyDescent="0.2">
      <c r="C34" s="50" t="s">
        <v>73</v>
      </c>
      <c r="D34" s="50" t="s">
        <v>74</v>
      </c>
    </row>
    <row r="35" spans="1:19" x14ac:dyDescent="0.2">
      <c r="B35" s="50" t="s">
        <v>11</v>
      </c>
      <c r="C35" s="50" t="s">
        <v>76</v>
      </c>
      <c r="D35" s="50" t="s">
        <v>75</v>
      </c>
    </row>
    <row r="36" spans="1:19" x14ac:dyDescent="0.2">
      <c r="B36" s="50" t="s">
        <v>12</v>
      </c>
      <c r="C36" s="50" t="s">
        <v>77</v>
      </c>
      <c r="D36" s="50" t="s">
        <v>78</v>
      </c>
    </row>
    <row r="37" spans="1:19" x14ac:dyDescent="0.2">
      <c r="C37" s="50"/>
      <c r="D37" s="50"/>
    </row>
    <row r="38" spans="1:19" ht="15" x14ac:dyDescent="0.25">
      <c r="A38" s="106" t="s">
        <v>48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x14ac:dyDescent="0.2">
      <c r="A39" s="107" t="s">
        <v>49</v>
      </c>
      <c r="B39" s="107"/>
      <c r="C39" s="108" t="s">
        <v>7</v>
      </c>
      <c r="D39" s="108"/>
      <c r="E39" s="108"/>
      <c r="F39" s="108"/>
      <c r="G39" s="108"/>
      <c r="H39" s="108"/>
      <c r="I39" s="108"/>
      <c r="J39" s="108"/>
      <c r="K39" s="108"/>
      <c r="L39" s="109" t="s">
        <v>50</v>
      </c>
      <c r="M39" s="110"/>
      <c r="N39" s="111"/>
      <c r="O39" s="107" t="s">
        <v>51</v>
      </c>
      <c r="P39" s="115"/>
      <c r="Q39" s="107" t="s">
        <v>52</v>
      </c>
      <c r="R39" s="107"/>
      <c r="S39" s="115" t="s">
        <v>53</v>
      </c>
    </row>
    <row r="40" spans="1:19" x14ac:dyDescent="0.2">
      <c r="A40" s="107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12"/>
      <c r="M40" s="113"/>
      <c r="N40" s="114"/>
      <c r="O40" s="107"/>
      <c r="P40" s="116"/>
      <c r="Q40" s="107"/>
      <c r="R40" s="107"/>
      <c r="S40" s="116"/>
    </row>
    <row r="41" spans="1:19" x14ac:dyDescent="0.2">
      <c r="A41" s="124"/>
      <c r="B41" s="125"/>
      <c r="C41" s="118" t="s">
        <v>54</v>
      </c>
      <c r="D41" s="119"/>
      <c r="E41" s="119"/>
      <c r="F41" s="119"/>
      <c r="G41" s="119"/>
      <c r="H41" s="119"/>
      <c r="I41" s="119"/>
      <c r="J41" s="119"/>
      <c r="K41" s="120"/>
      <c r="L41" s="121"/>
      <c r="M41" s="122"/>
      <c r="N41" s="123"/>
      <c r="O41" s="4"/>
      <c r="P41" s="4"/>
      <c r="Q41" s="61"/>
      <c r="R41" s="61"/>
      <c r="S41" s="4"/>
    </row>
    <row r="42" spans="1:19" x14ac:dyDescent="0.2">
      <c r="A42" s="124"/>
      <c r="B42" s="125"/>
      <c r="C42" s="118" t="s">
        <v>55</v>
      </c>
      <c r="D42" s="119"/>
      <c r="E42" s="119"/>
      <c r="F42" s="119"/>
      <c r="G42" s="119"/>
      <c r="H42" s="119"/>
      <c r="I42" s="119"/>
      <c r="J42" s="119"/>
      <c r="K42" s="120"/>
      <c r="L42" s="126" t="s">
        <v>56</v>
      </c>
      <c r="M42" s="127"/>
      <c r="N42" s="128"/>
      <c r="O42" s="41">
        <v>0.05</v>
      </c>
      <c r="P42" s="42"/>
      <c r="Q42" s="62">
        <f>SUM(O42*2487*12)</f>
        <v>1492.2</v>
      </c>
      <c r="R42" s="62"/>
      <c r="S42" s="41"/>
    </row>
    <row r="43" spans="1:19" x14ac:dyDescent="0.2">
      <c r="A43" s="124"/>
      <c r="B43" s="125"/>
      <c r="C43" s="118" t="s">
        <v>57</v>
      </c>
      <c r="D43" s="119"/>
      <c r="E43" s="119"/>
      <c r="F43" s="119"/>
      <c r="G43" s="119"/>
      <c r="H43" s="119"/>
      <c r="I43" s="119"/>
      <c r="J43" s="119"/>
      <c r="K43" s="120"/>
      <c r="L43" s="126" t="s">
        <v>56</v>
      </c>
      <c r="M43" s="127"/>
      <c r="N43" s="128"/>
      <c r="O43" s="41">
        <v>0.05</v>
      </c>
      <c r="P43" s="42"/>
      <c r="Q43" s="62">
        <f t="shared" ref="Q43:Q49" si="5">SUM(O43*2487*12)</f>
        <v>1492.2</v>
      </c>
      <c r="R43" s="62"/>
      <c r="S43" s="41"/>
    </row>
    <row r="44" spans="1:19" x14ac:dyDescent="0.2">
      <c r="A44" s="124"/>
      <c r="B44" s="125"/>
      <c r="C44" s="118" t="s">
        <v>58</v>
      </c>
      <c r="D44" s="119"/>
      <c r="E44" s="119"/>
      <c r="F44" s="119"/>
      <c r="G44" s="119"/>
      <c r="H44" s="119"/>
      <c r="I44" s="119"/>
      <c r="J44" s="119"/>
      <c r="K44" s="120"/>
      <c r="L44" s="126" t="s">
        <v>59</v>
      </c>
      <c r="M44" s="127"/>
      <c r="N44" s="128"/>
      <c r="O44" s="41">
        <v>0.15</v>
      </c>
      <c r="P44" s="42"/>
      <c r="Q44" s="62">
        <f t="shared" si="5"/>
        <v>4476.6000000000004</v>
      </c>
      <c r="R44" s="62"/>
      <c r="S44" s="41"/>
    </row>
    <row r="45" spans="1:19" x14ac:dyDescent="0.2">
      <c r="A45" s="129"/>
      <c r="B45" s="59"/>
      <c r="C45" s="130" t="s">
        <v>60</v>
      </c>
      <c r="D45" s="131"/>
      <c r="E45" s="131"/>
      <c r="F45" s="131"/>
      <c r="G45" s="131"/>
      <c r="H45" s="131"/>
      <c r="I45" s="131"/>
      <c r="J45" s="131"/>
      <c r="K45" s="132"/>
      <c r="L45" s="126" t="s">
        <v>56</v>
      </c>
      <c r="M45" s="127"/>
      <c r="N45" s="128"/>
      <c r="O45" s="3">
        <v>0.15</v>
      </c>
      <c r="P45" s="3"/>
      <c r="Q45" s="62">
        <f t="shared" si="5"/>
        <v>4476.6000000000004</v>
      </c>
      <c r="R45" s="62"/>
      <c r="S45" s="3"/>
    </row>
    <row r="46" spans="1:19" x14ac:dyDescent="0.2">
      <c r="A46" s="62"/>
      <c r="B46" s="62"/>
      <c r="C46" s="133" t="s">
        <v>61</v>
      </c>
      <c r="D46" s="134"/>
      <c r="E46" s="134"/>
      <c r="F46" s="134"/>
      <c r="G46" s="134"/>
      <c r="H46" s="134"/>
      <c r="I46" s="134"/>
      <c r="J46" s="134"/>
      <c r="K46" s="135"/>
      <c r="L46" s="136" t="s">
        <v>62</v>
      </c>
      <c r="M46" s="137"/>
      <c r="N46" s="138"/>
      <c r="O46" s="3">
        <v>0.25</v>
      </c>
      <c r="P46" s="3"/>
      <c r="Q46" s="62">
        <f t="shared" si="5"/>
        <v>7461</v>
      </c>
      <c r="R46" s="62"/>
      <c r="S46" s="3"/>
    </row>
    <row r="47" spans="1:19" x14ac:dyDescent="0.2">
      <c r="A47" s="129"/>
      <c r="B47" s="59"/>
      <c r="C47" s="133" t="s">
        <v>63</v>
      </c>
      <c r="D47" s="134"/>
      <c r="E47" s="134"/>
      <c r="F47" s="134"/>
      <c r="G47" s="134"/>
      <c r="H47" s="134"/>
      <c r="I47" s="134"/>
      <c r="J47" s="134"/>
      <c r="K47" s="135"/>
      <c r="L47" s="136" t="s">
        <v>62</v>
      </c>
      <c r="M47" s="137"/>
      <c r="N47" s="138"/>
      <c r="O47" s="3">
        <v>0.1</v>
      </c>
      <c r="P47" s="43"/>
      <c r="Q47" s="62">
        <f t="shared" si="5"/>
        <v>2984.4</v>
      </c>
      <c r="R47" s="62"/>
      <c r="S47" s="3"/>
    </row>
    <row r="48" spans="1:19" x14ac:dyDescent="0.2">
      <c r="A48" s="62"/>
      <c r="B48" s="62"/>
      <c r="C48" s="130" t="s">
        <v>64</v>
      </c>
      <c r="D48" s="131"/>
      <c r="E48" s="131"/>
      <c r="F48" s="131"/>
      <c r="G48" s="131"/>
      <c r="H48" s="131"/>
      <c r="I48" s="131"/>
      <c r="J48" s="131"/>
      <c r="K48" s="132"/>
      <c r="L48" s="136" t="s">
        <v>62</v>
      </c>
      <c r="M48" s="137"/>
      <c r="N48" s="138"/>
      <c r="O48" s="3">
        <v>0.25</v>
      </c>
      <c r="P48" s="3"/>
      <c r="Q48" s="62">
        <f t="shared" si="5"/>
        <v>7461</v>
      </c>
      <c r="R48" s="62"/>
      <c r="S48" s="3"/>
    </row>
    <row r="49" spans="1:19" x14ac:dyDescent="0.2">
      <c r="A49" s="44"/>
      <c r="B49" s="6"/>
      <c r="C49" s="142" t="s">
        <v>65</v>
      </c>
      <c r="D49" s="142"/>
      <c r="E49" s="142"/>
      <c r="F49" s="142"/>
      <c r="G49" s="142"/>
      <c r="H49" s="142"/>
      <c r="I49" s="142"/>
      <c r="J49" s="142"/>
      <c r="K49" s="142"/>
      <c r="L49" s="126" t="s">
        <v>56</v>
      </c>
      <c r="M49" s="127"/>
      <c r="N49" s="128"/>
      <c r="O49" s="2">
        <v>1</v>
      </c>
      <c r="P49" s="45"/>
      <c r="Q49" s="62">
        <f t="shared" si="5"/>
        <v>29844</v>
      </c>
      <c r="R49" s="62"/>
      <c r="S49" s="3"/>
    </row>
    <row r="50" spans="1:19" x14ac:dyDescent="0.2">
      <c r="E50" s="139" t="s">
        <v>13</v>
      </c>
      <c r="F50" s="140"/>
      <c r="G50" s="140"/>
      <c r="H50" s="140"/>
      <c r="I50" s="140"/>
      <c r="J50" s="140"/>
      <c r="K50" s="140"/>
      <c r="L50" s="140"/>
      <c r="M50" s="140"/>
      <c r="N50" s="141"/>
      <c r="O50" s="5">
        <f>SUM(O42:O49)</f>
        <v>2</v>
      </c>
      <c r="P50" s="46"/>
      <c r="Q50" s="57">
        <f>SUM(Q42:Q49)</f>
        <v>59688</v>
      </c>
      <c r="R50" s="57"/>
      <c r="S50" s="3"/>
    </row>
  </sheetData>
  <mergeCells count="77">
    <mergeCell ref="E50:N50"/>
    <mergeCell ref="Q50:R50"/>
    <mergeCell ref="A48:B48"/>
    <mergeCell ref="C48:K48"/>
    <mergeCell ref="L48:N48"/>
    <mergeCell ref="Q48:R48"/>
    <mergeCell ref="C49:K49"/>
    <mergeCell ref="L49:N49"/>
    <mergeCell ref="Q49:R49"/>
    <mergeCell ref="A46:B46"/>
    <mergeCell ref="C46:K46"/>
    <mergeCell ref="L46:N46"/>
    <mergeCell ref="Q46:R46"/>
    <mergeCell ref="A47:B47"/>
    <mergeCell ref="C47:K47"/>
    <mergeCell ref="L47:N47"/>
    <mergeCell ref="Q47:R47"/>
    <mergeCell ref="A44:B44"/>
    <mergeCell ref="C44:K44"/>
    <mergeCell ref="L44:N44"/>
    <mergeCell ref="Q44:R44"/>
    <mergeCell ref="A45:B45"/>
    <mergeCell ref="C45:K45"/>
    <mergeCell ref="L45:N45"/>
    <mergeCell ref="Q45:R45"/>
    <mergeCell ref="C41:K41"/>
    <mergeCell ref="L41:N41"/>
    <mergeCell ref="Q41:R41"/>
    <mergeCell ref="A43:B43"/>
    <mergeCell ref="C43:K43"/>
    <mergeCell ref="L43:N43"/>
    <mergeCell ref="Q43:R43"/>
    <mergeCell ref="A42:B42"/>
    <mergeCell ref="C42:K42"/>
    <mergeCell ref="L42:N42"/>
    <mergeCell ref="Q42:R42"/>
    <mergeCell ref="A41:B41"/>
    <mergeCell ref="A14:E14"/>
    <mergeCell ref="F14:S14"/>
    <mergeCell ref="A15:D15"/>
    <mergeCell ref="A38:S38"/>
    <mergeCell ref="A39:B40"/>
    <mergeCell ref="C39:K40"/>
    <mergeCell ref="L39:N40"/>
    <mergeCell ref="O39:O40"/>
    <mergeCell ref="P39:P40"/>
    <mergeCell ref="Q39:R40"/>
    <mergeCell ref="S39:S40"/>
    <mergeCell ref="R30:S30"/>
    <mergeCell ref="P10:Q10"/>
    <mergeCell ref="A12:D12"/>
    <mergeCell ref="F12:N12"/>
    <mergeCell ref="P12:Q12"/>
    <mergeCell ref="M8:M9"/>
    <mergeCell ref="N8:N9"/>
    <mergeCell ref="A13:E13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H8:H9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O8:O9"/>
  </mergeCells>
  <pageMargins left="0.125" right="5.2083333333333336E-2" top="0" bottom="0.12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2017-02-03T06:34:55Z</cp:lastPrinted>
  <dcterms:created xsi:type="dcterms:W3CDTF">2007-02-04T12:22:59Z</dcterms:created>
  <dcterms:modified xsi:type="dcterms:W3CDTF">2017-02-06T09:46:24Z</dcterms:modified>
</cp:coreProperties>
</file>