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6" sheetId="1" r:id="rId1"/>
  </sheets>
  <definedNames>
    <definedName name="_xlnm.Print_Area" localSheetId="0">'2016'!$B$31:$O$44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500р-уборка мусора (линокром с кровли)
3500р-замена 2-х батареек на теплосч.+ремонт ВЭПС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1250р-замена доводчик
654,30р-повторное опломбирование уч.воды
1325р-краска и тд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465р-краска
4793р-покос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покос-4793рр
6749р-дезинсекция
3775р-краска
</t>
        </r>
      </text>
    </comment>
    <comment ref="N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3816р--обследование дымохода и вентканала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150р-термометр
тех.обслуживание ОДГО-199,17р</t>
        </r>
      </text>
    </comment>
    <comment ref="I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гор.вода+отопление</t>
        </r>
      </text>
    </comment>
    <comment ref="I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без гор.воды</t>
        </r>
      </text>
    </comment>
  </commentList>
</comments>
</file>

<file path=xl/sharedStrings.xml><?xml version="1.0" encoding="utf-8"?>
<sst xmlns="http://schemas.openxmlformats.org/spreadsheetml/2006/main" count="91" uniqueCount="79">
  <si>
    <t>сентябрь</t>
  </si>
  <si>
    <t>октябрь</t>
  </si>
  <si>
    <t>Содержание</t>
  </si>
  <si>
    <t>март</t>
  </si>
  <si>
    <t>апрель</t>
  </si>
  <si>
    <t>ремонт</t>
  </si>
  <si>
    <t>итого</t>
  </si>
  <si>
    <t>май</t>
  </si>
  <si>
    <t>Наименование работ</t>
  </si>
  <si>
    <t>ИТОГО</t>
  </si>
  <si>
    <t>июнь</t>
  </si>
  <si>
    <t>июль</t>
  </si>
  <si>
    <t>август</t>
  </si>
  <si>
    <t>краска</t>
  </si>
  <si>
    <t>ИТОГО:</t>
  </si>
  <si>
    <t>Итого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</si>
  <si>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</si>
  <si>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</si>
  <si>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</si>
  <si>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</si>
  <si>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</si>
  <si>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</si>
  <si>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</si>
  <si>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</si>
  <si>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</si>
  <si>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</si>
  <si>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</si>
  <si>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</si>
  <si>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</si>
  <si>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</si>
  <si>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</si>
  <si>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</si>
  <si>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</si>
  <si>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</si>
  <si>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</si>
  <si>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</si>
  <si>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</si>
  <si>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</si>
  <si>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</si>
  <si>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</si>
  <si>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</si>
  <si>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</si>
  <si>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</si>
  <si>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</si>
  <si>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</si>
  <si>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</si>
  <si>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</si>
  <si>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</si>
  <si>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</si>
  <si>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</si>
  <si>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</si>
  <si>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</si>
  <si>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</si>
  <si>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</si>
  <si>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</si>
  <si>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</si>
  <si>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</si>
  <si>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</si>
  <si>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</si>
  <si>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</si>
  <si>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</si>
  <si>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</si>
  <si>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</si>
  <si>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</si>
  <si>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</si>
  <si>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</si>
  <si>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</si>
  <si>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</si>
  <si>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</si>
  <si>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__Дзержинского 21/1__на 2016год.</t>
  </si>
  <si>
    <t>уборка мусора (линокром с кровли)</t>
  </si>
  <si>
    <t>замена 2-х батареек на тепловыч. +ВЭПС</t>
  </si>
  <si>
    <t>замена доводчика</t>
  </si>
  <si>
    <t>повторное опломбирование уч. воды</t>
  </si>
  <si>
    <t>покос</t>
  </si>
  <si>
    <t>обследование дымохода и вентканала</t>
  </si>
  <si>
    <t>термомент</t>
  </si>
  <si>
    <t>тех.обслуживание ОДГО</t>
  </si>
  <si>
    <t>краска и т.д.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</si>
</sst>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-FC19]d\ mmmm\ yyyy\ &quot;г.&quot;"/>
    <numFmt numFmtId="167" formatCode="0.000"/>
    <numFmt numFmtId="168" formatCode="#,##0.000_р_."/>
    <numFmt numFmtId="169" formatCode="#,##0.0_р_."/>
    <numFmt numFmtId="170" formatCode="#,##0_р_."/>
    <numFmt numFmtId="171" formatCode="#,##0.0000_р_."/>
    <numFmt numFmtId="172" formatCode="#,##0.00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1" fillId="4" borderId="10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left" wrapText="1"/>
    </xf>
    <xf numFmtId="0" fontId="49" fillId="0" borderId="13" xfId="0" applyFont="1" applyBorder="1" applyAlignment="1">
      <alignment horizontal="left"/>
    </xf>
    <xf numFmtId="2" fontId="5" fillId="0" borderId="1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vertical="top"/>
    </xf>
    <xf numFmtId="4" fontId="3" fillId="33" borderId="10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64" fontId="1" fillId="13" borderId="10" xfId="0" applyNumberFormat="1" applyFont="1" applyFill="1" applyBorder="1" applyAlignment="1">
      <alignment/>
    </xf>
    <xf numFmtId="164" fontId="1" fillId="13" borderId="13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164" fontId="1" fillId="9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164" fontId="9" fillId="13" borderId="1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2" fontId="1" fillId="0" borderId="12" xfId="0" applyNumberFormat="1" applyFont="1" applyBorder="1" applyAlignment="1">
      <alignment horizontal="left" textRotation="90" wrapText="1"/>
    </xf>
    <xf numFmtId="0" fontId="0" fillId="0" borderId="13" xfId="0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1" fillId="0" borderId="1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2" borderId="14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U59"/>
  <sheetViews>
    <sheetView tabSelected="1" workbookViewId="0" topLeftCell="A7">
      <selection activeCell="P33" sqref="P33"/>
    </sheetView>
  </sheetViews>
  <sheetFormatPr defaultColWidth="9.00390625" defaultRowHeight="12.75"/>
  <cols>
    <col min="1" max="1" width="4.25390625" style="0" customWidth="1"/>
    <col min="4" max="4" width="7.625" style="0" customWidth="1"/>
    <col min="5" max="5" width="9.375" style="0" customWidth="1"/>
    <col min="11" max="11" width="5.125" style="0" hidden="1" customWidth="1"/>
    <col min="12" max="12" width="5.25390625" style="0" hidden="1" customWidth="1"/>
    <col min="14" max="14" width="8.75390625" style="0" customWidth="1"/>
    <col min="15" max="15" width="9.25390625" style="0" customWidth="1"/>
    <col min="16" max="16" width="8.875" style="0" customWidth="1"/>
    <col min="19" max="19" width="8.125" style="0" customWidth="1"/>
  </cols>
  <sheetData>
    <row r="1" ht="12.75" hidden="1"/>
    <row r="2" ht="12.75" hidden="1"/>
    <row r="3" ht="12.75" hidden="1"/>
    <row r="4" spans="1:19" ht="15.75">
      <c r="A4" s="63" t="s">
        <v>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2.75">
      <c r="A6" s="65"/>
      <c r="B6" s="66"/>
      <c r="C6" s="66"/>
      <c r="D6" s="66"/>
      <c r="E6" s="67"/>
      <c r="F6" s="68" t="s">
        <v>17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"/>
    </row>
    <row r="7" spans="1:19" ht="12.75">
      <c r="A7" s="11"/>
      <c r="B7" s="69" t="s">
        <v>18</v>
      </c>
      <c r="C7" s="69"/>
      <c r="D7" s="69"/>
      <c r="E7" s="69"/>
      <c r="F7" s="70" t="s">
        <v>2</v>
      </c>
      <c r="G7" s="71"/>
      <c r="H7" s="71"/>
      <c r="I7" s="71"/>
      <c r="J7" s="71"/>
      <c r="K7" s="71"/>
      <c r="L7" s="71"/>
      <c r="M7" s="71"/>
      <c r="N7" s="71"/>
      <c r="O7" s="72"/>
      <c r="P7" s="73" t="s">
        <v>19</v>
      </c>
      <c r="Q7" s="74"/>
      <c r="R7" s="77" t="s">
        <v>20</v>
      </c>
      <c r="S7" s="80" t="s">
        <v>9</v>
      </c>
    </row>
    <row r="8" spans="1:19" ht="12.75">
      <c r="A8" s="12"/>
      <c r="B8" s="83" t="s">
        <v>21</v>
      </c>
      <c r="C8" s="83" t="s">
        <v>5</v>
      </c>
      <c r="D8" s="83" t="s">
        <v>22</v>
      </c>
      <c r="E8" s="87" t="s">
        <v>6</v>
      </c>
      <c r="F8" s="85" t="s">
        <v>23</v>
      </c>
      <c r="G8" s="85" t="s">
        <v>24</v>
      </c>
      <c r="H8" s="85" t="s">
        <v>25</v>
      </c>
      <c r="I8" s="85" t="s">
        <v>26</v>
      </c>
      <c r="J8" s="85" t="s">
        <v>27</v>
      </c>
      <c r="K8" s="85" t="s">
        <v>28</v>
      </c>
      <c r="L8" s="85" t="s">
        <v>29</v>
      </c>
      <c r="M8" s="85" t="s">
        <v>30</v>
      </c>
      <c r="N8" s="85" t="s">
        <v>31</v>
      </c>
      <c r="O8" s="90" t="s">
        <v>32</v>
      </c>
      <c r="P8" s="75"/>
      <c r="Q8" s="76"/>
      <c r="R8" s="78"/>
      <c r="S8" s="81"/>
    </row>
    <row r="9" spans="1:19" ht="98.25" customHeight="1">
      <c r="A9" s="14"/>
      <c r="B9" s="84"/>
      <c r="C9" s="84"/>
      <c r="D9" s="84"/>
      <c r="E9" s="88"/>
      <c r="F9" s="89"/>
      <c r="G9" s="86"/>
      <c r="H9" s="86"/>
      <c r="I9" s="86"/>
      <c r="J9" s="86"/>
      <c r="K9" s="86"/>
      <c r="L9" s="86"/>
      <c r="M9" s="86"/>
      <c r="N9" s="86"/>
      <c r="O9" s="91"/>
      <c r="P9" s="13" t="s">
        <v>33</v>
      </c>
      <c r="Q9" s="13" t="s">
        <v>34</v>
      </c>
      <c r="R9" s="79"/>
      <c r="S9" s="82"/>
    </row>
    <row r="10" spans="1:19" ht="12.75">
      <c r="A10" s="52">
        <v>2015</v>
      </c>
      <c r="B10" s="15">
        <v>6</v>
      </c>
      <c r="C10" s="15">
        <v>3</v>
      </c>
      <c r="D10" s="15">
        <v>1</v>
      </c>
      <c r="E10" s="16">
        <f>SUM(B10:D10)</f>
        <v>10</v>
      </c>
      <c r="F10" s="46">
        <v>0.86</v>
      </c>
      <c r="G10" s="18">
        <v>1.21</v>
      </c>
      <c r="H10" s="18">
        <v>1.4</v>
      </c>
      <c r="I10" s="18">
        <v>0.61</v>
      </c>
      <c r="J10" s="18">
        <v>1.48</v>
      </c>
      <c r="K10" s="18">
        <v>0</v>
      </c>
      <c r="L10" s="18">
        <v>0</v>
      </c>
      <c r="M10" s="18">
        <v>1.45</v>
      </c>
      <c r="N10" s="18">
        <v>0</v>
      </c>
      <c r="O10" s="19">
        <f>SUM(F10:N10)</f>
        <v>7.010000000000001</v>
      </c>
      <c r="P10" s="92">
        <v>1.83</v>
      </c>
      <c r="Q10" s="93"/>
      <c r="R10" s="20">
        <v>0.83</v>
      </c>
      <c r="S10" s="17">
        <f>O10+P10+R10</f>
        <v>9.67</v>
      </c>
    </row>
    <row r="11" spans="1:19" ht="12.75">
      <c r="A11" s="53">
        <v>2016</v>
      </c>
      <c r="B11" s="21">
        <v>11</v>
      </c>
      <c r="C11" s="21">
        <v>2.5</v>
      </c>
      <c r="D11" s="21">
        <v>1.5</v>
      </c>
      <c r="E11" s="22">
        <f>SUM(B11:D11)</f>
        <v>15</v>
      </c>
      <c r="F11" s="56">
        <v>1.2</v>
      </c>
      <c r="G11" s="56">
        <v>1.4</v>
      </c>
      <c r="H11" s="56">
        <v>1.6</v>
      </c>
      <c r="I11" s="56">
        <v>0.8</v>
      </c>
      <c r="J11" s="56">
        <v>1.7</v>
      </c>
      <c r="K11" s="56">
        <v>0</v>
      </c>
      <c r="L11" s="56">
        <v>0</v>
      </c>
      <c r="M11" s="56">
        <v>2.3</v>
      </c>
      <c r="N11" s="56">
        <v>2</v>
      </c>
      <c r="O11" s="57">
        <f>SUM(F11:N11)</f>
        <v>11</v>
      </c>
      <c r="P11" s="58">
        <v>1.25</v>
      </c>
      <c r="Q11" s="58">
        <v>1.25</v>
      </c>
      <c r="R11" s="59">
        <v>1.5</v>
      </c>
      <c r="S11" s="23">
        <f>O11+P11+Q11+R11</f>
        <v>15</v>
      </c>
    </row>
    <row r="12" spans="1:19" ht="24">
      <c r="A12" s="94" t="s">
        <v>35</v>
      </c>
      <c r="B12" s="94"/>
      <c r="C12" s="94"/>
      <c r="D12" s="94"/>
      <c r="E12" s="24">
        <v>4394.2</v>
      </c>
      <c r="F12" s="95" t="s">
        <v>36</v>
      </c>
      <c r="G12" s="96"/>
      <c r="H12" s="96"/>
      <c r="I12" s="96"/>
      <c r="J12" s="96"/>
      <c r="K12" s="96"/>
      <c r="L12" s="96"/>
      <c r="M12" s="96"/>
      <c r="N12" s="97"/>
      <c r="O12" s="23"/>
      <c r="P12" s="98" t="s">
        <v>37</v>
      </c>
      <c r="Q12" s="99"/>
      <c r="R12" s="23" t="s">
        <v>38</v>
      </c>
      <c r="S12" s="23"/>
    </row>
    <row r="13" spans="1:21" ht="12.75">
      <c r="A13" s="100" t="s">
        <v>39</v>
      </c>
      <c r="B13" s="101"/>
      <c r="C13" s="101"/>
      <c r="D13" s="101"/>
      <c r="E13" s="102"/>
      <c r="F13" s="25">
        <f>E12*F11</f>
        <v>5273.04</v>
      </c>
      <c r="G13" s="25">
        <f>E12*G11</f>
        <v>6151.879999999999</v>
      </c>
      <c r="H13" s="25">
        <f>E12*H11</f>
        <v>7030.72</v>
      </c>
      <c r="I13" s="25">
        <f>E12*I11</f>
        <v>3515.36</v>
      </c>
      <c r="J13" s="25">
        <f>E12*J11</f>
        <v>7470.139999999999</v>
      </c>
      <c r="K13" s="25">
        <f>SUM(K11*2487)</f>
        <v>0</v>
      </c>
      <c r="L13" s="25">
        <f>SUM(L11*2487)</f>
        <v>0</v>
      </c>
      <c r="M13" s="25">
        <f>E12*M11</f>
        <v>10106.659999999998</v>
      </c>
      <c r="N13" s="25">
        <f>E12*N11</f>
        <v>8788.4</v>
      </c>
      <c r="O13" s="25">
        <f>SUM(F13:N13)</f>
        <v>48336.2</v>
      </c>
      <c r="P13" s="25">
        <f>E12*P11</f>
        <v>5492.75</v>
      </c>
      <c r="Q13" s="25">
        <f>E12*Q11</f>
        <v>5492.75</v>
      </c>
      <c r="R13" s="25">
        <f>E12*R11</f>
        <v>6591.299999999999</v>
      </c>
      <c r="S13" s="25">
        <f>SUM(S11*2487)</f>
        <v>37305</v>
      </c>
      <c r="U13" s="1"/>
    </row>
    <row r="14" spans="1:19" ht="12.75">
      <c r="A14" s="103" t="s">
        <v>40</v>
      </c>
      <c r="B14" s="103"/>
      <c r="C14" s="103"/>
      <c r="D14" s="103"/>
      <c r="E14" s="104"/>
      <c r="F14" s="105" t="s">
        <v>41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</row>
    <row r="15" spans="1:19" ht="12.75">
      <c r="A15" s="108" t="s">
        <v>42</v>
      </c>
      <c r="B15" s="108"/>
      <c r="C15" s="108"/>
      <c r="D15" s="109"/>
      <c r="E15" s="26">
        <v>-102224.58</v>
      </c>
      <c r="F15" s="27"/>
      <c r="G15" s="28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0"/>
    </row>
    <row r="16" spans="1:19" ht="12.75">
      <c r="A16" s="31" t="s">
        <v>43</v>
      </c>
      <c r="B16" s="2">
        <f>10236.53+22576.04</f>
        <v>32812.57</v>
      </c>
      <c r="C16" s="2">
        <f>4448+7168.99</f>
        <v>11616.99</v>
      </c>
      <c r="D16" s="2">
        <v>0</v>
      </c>
      <c r="E16" s="3">
        <f aca="true" t="shared" si="0" ref="E16:E27">B16+C16+D16</f>
        <v>44429.56</v>
      </c>
      <c r="F16" s="32">
        <f aca="true" t="shared" si="1" ref="F16:F27">4394.2*1.2</f>
        <v>5273.04</v>
      </c>
      <c r="G16" s="32">
        <v>5400</v>
      </c>
      <c r="H16" s="33">
        <f aca="true" t="shared" si="2" ref="H16:H27">4394.2*1.6</f>
        <v>7030.72</v>
      </c>
      <c r="I16" s="32">
        <v>2835</v>
      </c>
      <c r="J16" s="32">
        <f aca="true" t="shared" si="3" ref="J16:J27">4394.2*1.7</f>
        <v>7470.139999999999</v>
      </c>
      <c r="K16" s="32">
        <v>0</v>
      </c>
      <c r="L16" s="32">
        <v>0</v>
      </c>
      <c r="M16" s="32">
        <f aca="true" t="shared" si="4" ref="M16:M27">4394.2*2.3</f>
        <v>10106.659999999998</v>
      </c>
      <c r="N16" s="32">
        <v>0</v>
      </c>
      <c r="O16" s="47">
        <f aca="true" t="shared" si="5" ref="O16:O27">SUM(F16:N16)</f>
        <v>38115.56</v>
      </c>
      <c r="P16" s="34">
        <v>0</v>
      </c>
      <c r="Q16" s="34">
        <v>0</v>
      </c>
      <c r="R16" s="32">
        <f aca="true" t="shared" si="6" ref="R16:R27">4394.2*1.5</f>
        <v>6591.299999999999</v>
      </c>
      <c r="S16" s="35">
        <f aca="true" t="shared" si="7" ref="S16:S27">O16+P16+Q16+R16</f>
        <v>44706.86</v>
      </c>
    </row>
    <row r="17" spans="1:19" ht="12.75">
      <c r="A17" s="31" t="s">
        <v>44</v>
      </c>
      <c r="B17" s="2">
        <f>16547.9+13768.69+426.3</f>
        <v>30742.890000000003</v>
      </c>
      <c r="C17" s="2">
        <f>7447.8+5808.5+182.7</f>
        <v>13439</v>
      </c>
      <c r="D17" s="2">
        <v>0</v>
      </c>
      <c r="E17" s="2">
        <f t="shared" si="0"/>
        <v>44181.89</v>
      </c>
      <c r="F17" s="32">
        <f t="shared" si="1"/>
        <v>5273.04</v>
      </c>
      <c r="G17" s="32">
        <v>5400</v>
      </c>
      <c r="H17" s="33">
        <f t="shared" si="2"/>
        <v>7030.72</v>
      </c>
      <c r="I17" s="32">
        <v>2835</v>
      </c>
      <c r="J17" s="32">
        <f t="shared" si="3"/>
        <v>7470.139999999999</v>
      </c>
      <c r="K17" s="32">
        <v>0</v>
      </c>
      <c r="L17" s="32">
        <v>0</v>
      </c>
      <c r="M17" s="32">
        <f t="shared" si="4"/>
        <v>10106.659999999998</v>
      </c>
      <c r="N17" s="32">
        <v>0</v>
      </c>
      <c r="O17" s="47">
        <f t="shared" si="5"/>
        <v>38115.56</v>
      </c>
      <c r="P17" s="34">
        <v>0</v>
      </c>
      <c r="Q17" s="34">
        <v>3517</v>
      </c>
      <c r="R17" s="32">
        <f t="shared" si="6"/>
        <v>6591.299999999999</v>
      </c>
      <c r="S17" s="35">
        <f t="shared" si="7"/>
        <v>48223.86</v>
      </c>
    </row>
    <row r="18" spans="1:19" ht="12.75">
      <c r="A18" s="31" t="s">
        <v>3</v>
      </c>
      <c r="B18" s="2">
        <f>14862.38+12675.12+2426.3</f>
        <v>29963.8</v>
      </c>
      <c r="C18" s="2">
        <f>6453.8+5472.81+182.7</f>
        <v>12109.310000000001</v>
      </c>
      <c r="D18" s="2">
        <v>0</v>
      </c>
      <c r="E18" s="2">
        <f t="shared" si="0"/>
        <v>42073.11</v>
      </c>
      <c r="F18" s="32">
        <f t="shared" si="1"/>
        <v>5273.04</v>
      </c>
      <c r="G18" s="32">
        <v>5400</v>
      </c>
      <c r="H18" s="33">
        <f t="shared" si="2"/>
        <v>7030.72</v>
      </c>
      <c r="I18" s="32">
        <v>2835</v>
      </c>
      <c r="J18" s="32">
        <f t="shared" si="3"/>
        <v>7470.139999999999</v>
      </c>
      <c r="K18" s="32">
        <v>0</v>
      </c>
      <c r="L18" s="32">
        <v>0</v>
      </c>
      <c r="M18" s="32">
        <f t="shared" si="4"/>
        <v>10106.659999999998</v>
      </c>
      <c r="N18" s="32">
        <f>500+3500</f>
        <v>4000</v>
      </c>
      <c r="O18" s="47">
        <f t="shared" si="5"/>
        <v>42115.56</v>
      </c>
      <c r="P18" s="34">
        <v>0</v>
      </c>
      <c r="Q18" s="34">
        <v>0</v>
      </c>
      <c r="R18" s="32">
        <f t="shared" si="6"/>
        <v>6591.299999999999</v>
      </c>
      <c r="S18" s="35">
        <f t="shared" si="7"/>
        <v>48706.86</v>
      </c>
    </row>
    <row r="19" spans="1:19" ht="12.75">
      <c r="A19" s="31" t="s">
        <v>45</v>
      </c>
      <c r="B19" s="2">
        <f>15606.32+11204.19+144.42</f>
        <v>26954.93</v>
      </c>
      <c r="C19" s="2">
        <f>7288.1+4801.5</f>
        <v>12089.6</v>
      </c>
      <c r="D19" s="2">
        <v>0</v>
      </c>
      <c r="E19" s="2">
        <f t="shared" si="0"/>
        <v>39044.53</v>
      </c>
      <c r="F19" s="32">
        <f t="shared" si="1"/>
        <v>5273.04</v>
      </c>
      <c r="G19" s="32">
        <v>5400</v>
      </c>
      <c r="H19" s="33">
        <f t="shared" si="2"/>
        <v>7030.72</v>
      </c>
      <c r="I19" s="32">
        <v>2835</v>
      </c>
      <c r="J19" s="32">
        <f t="shared" si="3"/>
        <v>7470.139999999999</v>
      </c>
      <c r="K19" s="32"/>
      <c r="L19" s="32"/>
      <c r="M19" s="32">
        <f t="shared" si="4"/>
        <v>10106.659999999998</v>
      </c>
      <c r="N19" s="32">
        <f>3229.3</f>
        <v>3229.3</v>
      </c>
      <c r="O19" s="47">
        <f t="shared" si="5"/>
        <v>41344.86</v>
      </c>
      <c r="P19" s="34">
        <v>766</v>
      </c>
      <c r="Q19" s="34">
        <v>0</v>
      </c>
      <c r="R19" s="32">
        <f t="shared" si="6"/>
        <v>6591.299999999999</v>
      </c>
      <c r="S19" s="35">
        <f t="shared" si="7"/>
        <v>48702.16</v>
      </c>
    </row>
    <row r="20" spans="1:19" ht="12.75">
      <c r="A20" s="31" t="s">
        <v>7</v>
      </c>
      <c r="B20" s="2">
        <f>15859.6+13548.64+2345.09</f>
        <v>31753.329999999998</v>
      </c>
      <c r="C20" s="2">
        <f>6557.59+5562.22+2147.6</f>
        <v>14267.410000000002</v>
      </c>
      <c r="D20" s="2">
        <v>0</v>
      </c>
      <c r="E20" s="2">
        <f t="shared" si="0"/>
        <v>46020.74</v>
      </c>
      <c r="F20" s="32">
        <f t="shared" si="1"/>
        <v>5273.04</v>
      </c>
      <c r="G20" s="32">
        <v>5400</v>
      </c>
      <c r="H20" s="33">
        <f t="shared" si="2"/>
        <v>7030.72</v>
      </c>
      <c r="I20" s="32">
        <v>2835</v>
      </c>
      <c r="J20" s="32">
        <f t="shared" si="3"/>
        <v>7470.139999999999</v>
      </c>
      <c r="K20" s="32"/>
      <c r="L20" s="32"/>
      <c r="M20" s="32">
        <f t="shared" si="4"/>
        <v>10106.659999999998</v>
      </c>
      <c r="N20" s="32">
        <f>465+4793</f>
        <v>5258</v>
      </c>
      <c r="O20" s="47">
        <f t="shared" si="5"/>
        <v>43373.56</v>
      </c>
      <c r="P20" s="34">
        <v>0</v>
      </c>
      <c r="Q20" s="34">
        <v>7083</v>
      </c>
      <c r="R20" s="32">
        <f t="shared" si="6"/>
        <v>6591.299999999999</v>
      </c>
      <c r="S20" s="35">
        <f t="shared" si="7"/>
        <v>57047.86</v>
      </c>
    </row>
    <row r="21" spans="1:19" ht="12.75">
      <c r="A21" s="31" t="s">
        <v>10</v>
      </c>
      <c r="B21" s="2">
        <f>15311.8+10975.2+2633.4</f>
        <v>28920.4</v>
      </c>
      <c r="C21" s="2">
        <f>6704.7+4711.07+946</f>
        <v>12361.77</v>
      </c>
      <c r="D21" s="2">
        <v>0</v>
      </c>
      <c r="E21" s="2">
        <f t="shared" si="0"/>
        <v>41282.17</v>
      </c>
      <c r="F21" s="32">
        <f t="shared" si="1"/>
        <v>5273.04</v>
      </c>
      <c r="G21" s="32">
        <v>5400</v>
      </c>
      <c r="H21" s="33">
        <f t="shared" si="2"/>
        <v>7030.72</v>
      </c>
      <c r="I21" s="32">
        <v>2835</v>
      </c>
      <c r="J21" s="32">
        <f t="shared" si="3"/>
        <v>7470.139999999999</v>
      </c>
      <c r="K21" s="32"/>
      <c r="L21" s="32"/>
      <c r="M21" s="32">
        <f t="shared" si="4"/>
        <v>10106.659999999998</v>
      </c>
      <c r="N21" s="32">
        <v>0</v>
      </c>
      <c r="O21" s="47">
        <f t="shared" si="5"/>
        <v>38115.56</v>
      </c>
      <c r="P21" s="34">
        <v>2518</v>
      </c>
      <c r="Q21" s="34">
        <v>0</v>
      </c>
      <c r="R21" s="32">
        <f t="shared" si="6"/>
        <v>6591.299999999999</v>
      </c>
      <c r="S21" s="35">
        <f t="shared" si="7"/>
        <v>47224.86</v>
      </c>
    </row>
    <row r="22" spans="1:19" ht="12.75">
      <c r="A22" s="31" t="s">
        <v>11</v>
      </c>
      <c r="B22" s="2">
        <f>14822.13+12581.46+426.3</f>
        <v>27829.889999999996</v>
      </c>
      <c r="C22" s="2">
        <f>6786.68+5883.3+182.7</f>
        <v>12852.68</v>
      </c>
      <c r="D22" s="2">
        <v>0</v>
      </c>
      <c r="E22" s="2">
        <f t="shared" si="0"/>
        <v>40682.56999999999</v>
      </c>
      <c r="F22" s="32">
        <f t="shared" si="1"/>
        <v>5273.04</v>
      </c>
      <c r="G22" s="32">
        <v>5400</v>
      </c>
      <c r="H22" s="33">
        <f t="shared" si="2"/>
        <v>7030.72</v>
      </c>
      <c r="I22" s="32">
        <v>2835</v>
      </c>
      <c r="J22" s="32">
        <f t="shared" si="3"/>
        <v>7470.139999999999</v>
      </c>
      <c r="K22" s="32"/>
      <c r="L22" s="32"/>
      <c r="M22" s="32">
        <f t="shared" si="4"/>
        <v>10106.659999999998</v>
      </c>
      <c r="N22" s="32">
        <v>0</v>
      </c>
      <c r="O22" s="47">
        <f t="shared" si="5"/>
        <v>38115.56</v>
      </c>
      <c r="P22" s="34">
        <v>11668</v>
      </c>
      <c r="Q22" s="34">
        <v>0</v>
      </c>
      <c r="R22" s="32">
        <f t="shared" si="6"/>
        <v>6591.299999999999</v>
      </c>
      <c r="S22" s="35">
        <f t="shared" si="7"/>
        <v>56374.86</v>
      </c>
    </row>
    <row r="23" spans="1:19" ht="12.75">
      <c r="A23" s="31" t="s">
        <v>12</v>
      </c>
      <c r="B23" s="2">
        <f>31256.75+24582.81+10</f>
        <v>55849.56</v>
      </c>
      <c r="C23" s="2">
        <f>7288.75+5214.25</f>
        <v>12503</v>
      </c>
      <c r="D23" s="2">
        <v>0</v>
      </c>
      <c r="E23" s="2">
        <f t="shared" si="0"/>
        <v>68352.56</v>
      </c>
      <c r="F23" s="32">
        <f t="shared" si="1"/>
        <v>5273.04</v>
      </c>
      <c r="G23" s="32">
        <v>5400</v>
      </c>
      <c r="H23" s="33">
        <f t="shared" si="2"/>
        <v>7030.72</v>
      </c>
      <c r="I23" s="32">
        <v>2835</v>
      </c>
      <c r="J23" s="32">
        <f t="shared" si="3"/>
        <v>7470.139999999999</v>
      </c>
      <c r="K23" s="32"/>
      <c r="L23" s="32"/>
      <c r="M23" s="32">
        <f t="shared" si="4"/>
        <v>10106.659999999998</v>
      </c>
      <c r="N23" s="60">
        <f>4793+10524</f>
        <v>15317</v>
      </c>
      <c r="O23" s="47">
        <f t="shared" si="5"/>
        <v>53432.56</v>
      </c>
      <c r="P23" s="34">
        <f>410+22711+4654</f>
        <v>27775</v>
      </c>
      <c r="Q23" s="34">
        <v>0</v>
      </c>
      <c r="R23" s="32">
        <f t="shared" si="6"/>
        <v>6591.299999999999</v>
      </c>
      <c r="S23" s="35">
        <f t="shared" si="7"/>
        <v>87798.86</v>
      </c>
    </row>
    <row r="24" spans="1:19" ht="12.75">
      <c r="A24" s="31" t="s">
        <v>46</v>
      </c>
      <c r="B24" s="2">
        <f>26293.9+19813.22+615+719.58</f>
        <v>47441.700000000004</v>
      </c>
      <c r="C24" s="2">
        <f>5880.95+3929.75+125</f>
        <v>9935.7</v>
      </c>
      <c r="D24" s="2">
        <v>0</v>
      </c>
      <c r="E24" s="2">
        <f t="shared" si="0"/>
        <v>57377.40000000001</v>
      </c>
      <c r="F24" s="32">
        <f t="shared" si="1"/>
        <v>5273.04</v>
      </c>
      <c r="G24" s="32">
        <v>5400</v>
      </c>
      <c r="H24" s="33">
        <f t="shared" si="2"/>
        <v>7030.72</v>
      </c>
      <c r="I24" s="32">
        <v>2835</v>
      </c>
      <c r="J24" s="32">
        <f t="shared" si="3"/>
        <v>7470.139999999999</v>
      </c>
      <c r="K24" s="32"/>
      <c r="L24" s="32"/>
      <c r="M24" s="32">
        <f t="shared" si="4"/>
        <v>10106.659999999998</v>
      </c>
      <c r="N24" s="32">
        <v>3816</v>
      </c>
      <c r="O24" s="47">
        <f t="shared" si="5"/>
        <v>41931.56</v>
      </c>
      <c r="P24" s="34">
        <v>2783</v>
      </c>
      <c r="Q24" s="34">
        <v>0</v>
      </c>
      <c r="R24" s="32">
        <f t="shared" si="6"/>
        <v>6591.299999999999</v>
      </c>
      <c r="S24" s="35">
        <f t="shared" si="7"/>
        <v>51305.86</v>
      </c>
    </row>
    <row r="25" spans="1:19" ht="12.75">
      <c r="A25" s="31" t="s">
        <v>47</v>
      </c>
      <c r="B25" s="2">
        <f>24471.25+24519.31+3625</f>
        <v>52615.56</v>
      </c>
      <c r="C25" s="2">
        <f>5005.75+4644.78+3125</f>
        <v>12775.529999999999</v>
      </c>
      <c r="D25" s="2">
        <v>0</v>
      </c>
      <c r="E25" s="2">
        <f t="shared" si="0"/>
        <v>65391.09</v>
      </c>
      <c r="F25" s="32">
        <f t="shared" si="1"/>
        <v>5273.04</v>
      </c>
      <c r="G25" s="32">
        <v>5400</v>
      </c>
      <c r="H25" s="33">
        <f t="shared" si="2"/>
        <v>7030.72</v>
      </c>
      <c r="I25" s="32">
        <f>2835+1400</f>
        <v>4235</v>
      </c>
      <c r="J25" s="32">
        <f t="shared" si="3"/>
        <v>7470.139999999999</v>
      </c>
      <c r="K25" s="32"/>
      <c r="L25" s="32"/>
      <c r="M25" s="32">
        <f t="shared" si="4"/>
        <v>10106.659999999998</v>
      </c>
      <c r="N25" s="32">
        <f>150+199.17</f>
        <v>349.16999999999996</v>
      </c>
      <c r="O25" s="47">
        <f t="shared" si="5"/>
        <v>39864.729999999996</v>
      </c>
      <c r="P25" s="34">
        <v>11484</v>
      </c>
      <c r="Q25" s="34">
        <v>0</v>
      </c>
      <c r="R25" s="32">
        <f t="shared" si="6"/>
        <v>6591.299999999999</v>
      </c>
      <c r="S25" s="35">
        <f t="shared" si="7"/>
        <v>57940.03</v>
      </c>
    </row>
    <row r="26" spans="1:19" ht="12.75">
      <c r="A26" s="31" t="s">
        <v>48</v>
      </c>
      <c r="B26" s="2">
        <f>25638.42+20750.04+625</f>
        <v>47013.46</v>
      </c>
      <c r="C26" s="2">
        <f>5950.4+4363.15+125</f>
        <v>10438.55</v>
      </c>
      <c r="D26" s="2">
        <v>0</v>
      </c>
      <c r="E26" s="2">
        <f t="shared" si="0"/>
        <v>57452.009999999995</v>
      </c>
      <c r="F26" s="32">
        <f t="shared" si="1"/>
        <v>5273.04</v>
      </c>
      <c r="G26" s="32">
        <v>5400</v>
      </c>
      <c r="H26" s="33">
        <f t="shared" si="2"/>
        <v>7030.72</v>
      </c>
      <c r="I26" s="32">
        <f>2835+2400</f>
        <v>5235</v>
      </c>
      <c r="J26" s="32">
        <f t="shared" si="3"/>
        <v>7470.139999999999</v>
      </c>
      <c r="K26" s="32"/>
      <c r="L26" s="32"/>
      <c r="M26" s="32">
        <f t="shared" si="4"/>
        <v>10106.659999999998</v>
      </c>
      <c r="N26" s="32">
        <v>0</v>
      </c>
      <c r="O26" s="47">
        <f t="shared" si="5"/>
        <v>40515.56</v>
      </c>
      <c r="P26" s="34">
        <v>1103</v>
      </c>
      <c r="Q26" s="34">
        <v>0</v>
      </c>
      <c r="R26" s="32">
        <f t="shared" si="6"/>
        <v>6591.299999999999</v>
      </c>
      <c r="S26" s="35">
        <f t="shared" si="7"/>
        <v>48209.86</v>
      </c>
    </row>
    <row r="27" spans="1:19" ht="18.75" customHeight="1">
      <c r="A27" s="31" t="s">
        <v>49</v>
      </c>
      <c r="B27" s="2">
        <f>37148.87+17402.75+2625</f>
        <v>57176.62</v>
      </c>
      <c r="C27" s="2">
        <f>7275.68+3587.75+125</f>
        <v>10988.43</v>
      </c>
      <c r="D27" s="2">
        <v>0</v>
      </c>
      <c r="E27" s="2">
        <f t="shared" si="0"/>
        <v>68165.05</v>
      </c>
      <c r="F27" s="32">
        <f t="shared" si="1"/>
        <v>5273.04</v>
      </c>
      <c r="G27" s="32">
        <v>5400</v>
      </c>
      <c r="H27" s="33">
        <f t="shared" si="2"/>
        <v>7030.72</v>
      </c>
      <c r="I27" s="32">
        <f>2835+2400</f>
        <v>5235</v>
      </c>
      <c r="J27" s="32">
        <f t="shared" si="3"/>
        <v>7470.139999999999</v>
      </c>
      <c r="K27" s="32"/>
      <c r="L27" s="32"/>
      <c r="M27" s="32">
        <f t="shared" si="4"/>
        <v>10106.659999999998</v>
      </c>
      <c r="N27" s="32">
        <v>0</v>
      </c>
      <c r="O27" s="47">
        <f t="shared" si="5"/>
        <v>40515.56</v>
      </c>
      <c r="P27" s="34">
        <v>742</v>
      </c>
      <c r="Q27" s="34">
        <v>0</v>
      </c>
      <c r="R27" s="32">
        <f t="shared" si="6"/>
        <v>6591.299999999999</v>
      </c>
      <c r="S27" s="35">
        <f t="shared" si="7"/>
        <v>47848.86</v>
      </c>
    </row>
    <row r="28" spans="1:19" ht="35.25" customHeight="1">
      <c r="A28" s="36" t="s">
        <v>50</v>
      </c>
      <c r="B28" s="2">
        <f>2700+2700+2700+2700</f>
        <v>10800</v>
      </c>
      <c r="C28" s="2">
        <v>0</v>
      </c>
      <c r="D28" s="2">
        <v>0</v>
      </c>
      <c r="E28" s="2">
        <f>B28+C28+D28</f>
        <v>10800</v>
      </c>
      <c r="F28" s="32"/>
      <c r="G28" s="32"/>
      <c r="H28" s="32"/>
      <c r="I28" s="32"/>
      <c r="J28" s="32"/>
      <c r="K28" s="32"/>
      <c r="L28" s="32"/>
      <c r="M28" s="32"/>
      <c r="N28" s="32"/>
      <c r="O28" s="47"/>
      <c r="P28" s="34"/>
      <c r="Q28" s="34"/>
      <c r="R28" s="32"/>
      <c r="S28" s="35"/>
    </row>
    <row r="29" spans="1:19" ht="12.75">
      <c r="A29" s="37" t="s">
        <v>6</v>
      </c>
      <c r="B29" s="48">
        <f>SUM(B16:B28)</f>
        <v>479874.71</v>
      </c>
      <c r="C29" s="48">
        <f>SUM(C16:C28)</f>
        <v>145377.97</v>
      </c>
      <c r="D29" s="48">
        <f>SUM(D16:D28)</f>
        <v>0</v>
      </c>
      <c r="E29" s="48">
        <f>SUM(E15:E28)</f>
        <v>523028.10000000003</v>
      </c>
      <c r="F29" s="48">
        <f>SUM(F16:F28)</f>
        <v>63276.48</v>
      </c>
      <c r="G29" s="48">
        <f>SUM(G16:G28)</f>
        <v>64800</v>
      </c>
      <c r="H29" s="48">
        <f>SUM(H16:H28)</f>
        <v>84368.64</v>
      </c>
      <c r="I29" s="48">
        <f>SUM(I16:I28)</f>
        <v>40220</v>
      </c>
      <c r="J29" s="48">
        <f>SUM(J16:J28)</f>
        <v>89641.68</v>
      </c>
      <c r="K29" s="48"/>
      <c r="L29" s="48"/>
      <c r="M29" s="48">
        <f aca="true" t="shared" si="8" ref="M29:S29">SUM(M16:M28)</f>
        <v>121279.92</v>
      </c>
      <c r="N29" s="48">
        <f>SUM(N16:N28)</f>
        <v>31969.469999999998</v>
      </c>
      <c r="O29" s="48">
        <f t="shared" si="8"/>
        <v>495556.18999999994</v>
      </c>
      <c r="P29" s="48">
        <f t="shared" si="8"/>
        <v>58839</v>
      </c>
      <c r="Q29" s="48">
        <f t="shared" si="8"/>
        <v>10600</v>
      </c>
      <c r="R29" s="48">
        <f t="shared" si="8"/>
        <v>79095.60000000002</v>
      </c>
      <c r="S29" s="49">
        <f t="shared" si="8"/>
        <v>644090.7899999999</v>
      </c>
    </row>
    <row r="30" spans="1:19" ht="12.75">
      <c r="A30" s="4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 t="s">
        <v>14</v>
      </c>
      <c r="R30" s="143">
        <f>E29-S29</f>
        <v>-121062.68999999989</v>
      </c>
      <c r="S30" s="143"/>
    </row>
    <row r="31" spans="1:19" ht="12.75">
      <c r="A31" s="44"/>
      <c r="B31" s="55" t="s">
        <v>3</v>
      </c>
      <c r="C31" s="61">
        <v>500</v>
      </c>
      <c r="D31" s="55" t="s">
        <v>70</v>
      </c>
      <c r="E31" s="55"/>
      <c r="F31" s="5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54"/>
      <c r="S31" s="54"/>
    </row>
    <row r="32" spans="1:19" ht="12.75">
      <c r="A32" s="44"/>
      <c r="B32" s="6"/>
      <c r="C32" s="61">
        <v>3500</v>
      </c>
      <c r="D32" s="55" t="s">
        <v>71</v>
      </c>
      <c r="E32" s="55"/>
      <c r="F32" s="5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5"/>
    </row>
    <row r="33" spans="1:19" ht="12.75">
      <c r="A33" s="44"/>
      <c r="B33" s="55" t="s">
        <v>4</v>
      </c>
      <c r="C33" s="61">
        <v>1250</v>
      </c>
      <c r="D33" s="55" t="s">
        <v>72</v>
      </c>
      <c r="E33" s="55"/>
      <c r="F33" s="5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5"/>
    </row>
    <row r="34" spans="3:16" ht="12.75">
      <c r="C34" s="61">
        <v>654.3</v>
      </c>
      <c r="D34" s="55" t="s">
        <v>73</v>
      </c>
      <c r="P34" s="7"/>
    </row>
    <row r="35" spans="3:16" ht="12.75">
      <c r="C35" s="61">
        <v>1325</v>
      </c>
      <c r="D35" s="55" t="s">
        <v>78</v>
      </c>
      <c r="P35" s="62"/>
    </row>
    <row r="36" spans="2:16" ht="12.75">
      <c r="B36" t="s">
        <v>7</v>
      </c>
      <c r="C36" s="61">
        <v>465</v>
      </c>
      <c r="D36" s="55" t="s">
        <v>13</v>
      </c>
      <c r="P36" s="7"/>
    </row>
    <row r="37" spans="2:4" ht="12.75">
      <c r="B37" t="s">
        <v>7</v>
      </c>
      <c r="C37" s="61">
        <v>4793</v>
      </c>
      <c r="D37" s="55" t="s">
        <v>74</v>
      </c>
    </row>
    <row r="38" spans="2:4" ht="12.75">
      <c r="B38" t="s">
        <v>12</v>
      </c>
      <c r="C38" s="61">
        <v>4793</v>
      </c>
      <c r="D38" s="55" t="s">
        <v>74</v>
      </c>
    </row>
    <row r="39" spans="3:4" ht="12.75">
      <c r="C39" s="61">
        <v>6749</v>
      </c>
      <c r="D39" s="55" t="s">
        <v>16</v>
      </c>
    </row>
    <row r="40" spans="3:4" ht="12.75">
      <c r="C40" s="61">
        <v>3775</v>
      </c>
      <c r="D40" s="55" t="s">
        <v>13</v>
      </c>
    </row>
    <row r="41" spans="2:4" ht="12.75">
      <c r="B41" t="s">
        <v>0</v>
      </c>
      <c r="C41" s="61">
        <v>3816</v>
      </c>
      <c r="D41" s="55" t="s">
        <v>75</v>
      </c>
    </row>
    <row r="42" spans="2:4" ht="12.75">
      <c r="B42" t="s">
        <v>1</v>
      </c>
      <c r="C42" s="61">
        <v>150</v>
      </c>
      <c r="D42" s="55" t="s">
        <v>76</v>
      </c>
    </row>
    <row r="43" spans="3:4" ht="12.75">
      <c r="C43" s="61">
        <v>199.17</v>
      </c>
      <c r="D43" s="55" t="s">
        <v>77</v>
      </c>
    </row>
    <row r="44" spans="3:4" ht="12.75">
      <c r="C44" s="6"/>
      <c r="D44" s="55"/>
    </row>
    <row r="45" spans="3:4" ht="12.75">
      <c r="C45" s="55"/>
      <c r="D45" s="55"/>
    </row>
    <row r="46" spans="3:4" ht="12.75">
      <c r="C46" s="55"/>
      <c r="D46" s="55"/>
    </row>
    <row r="47" spans="1:19" ht="15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</row>
    <row r="48" spans="1:19" ht="12.75">
      <c r="A48" s="111" t="s">
        <v>52</v>
      </c>
      <c r="B48" s="111"/>
      <c r="C48" s="112" t="s">
        <v>8</v>
      </c>
      <c r="D48" s="112"/>
      <c r="E48" s="112"/>
      <c r="F48" s="112"/>
      <c r="G48" s="112"/>
      <c r="H48" s="112"/>
      <c r="I48" s="112"/>
      <c r="J48" s="112"/>
      <c r="K48" s="112"/>
      <c r="L48" s="113" t="s">
        <v>53</v>
      </c>
      <c r="M48" s="114"/>
      <c r="N48" s="115"/>
      <c r="O48" s="111" t="s">
        <v>54</v>
      </c>
      <c r="P48" s="119"/>
      <c r="Q48" s="111" t="s">
        <v>55</v>
      </c>
      <c r="R48" s="111"/>
      <c r="S48" s="119" t="s">
        <v>56</v>
      </c>
    </row>
    <row r="49" spans="1:19" ht="12.75">
      <c r="A49" s="111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6"/>
      <c r="M49" s="117"/>
      <c r="N49" s="118"/>
      <c r="O49" s="111"/>
      <c r="P49" s="120"/>
      <c r="Q49" s="111"/>
      <c r="R49" s="111"/>
      <c r="S49" s="120"/>
    </row>
    <row r="50" spans="1:19" ht="12.75">
      <c r="A50" s="121"/>
      <c r="B50" s="122"/>
      <c r="C50" s="123" t="s">
        <v>57</v>
      </c>
      <c r="D50" s="124"/>
      <c r="E50" s="124"/>
      <c r="F50" s="124"/>
      <c r="G50" s="124"/>
      <c r="H50" s="124"/>
      <c r="I50" s="124"/>
      <c r="J50" s="124"/>
      <c r="K50" s="125"/>
      <c r="L50" s="126"/>
      <c r="M50" s="127"/>
      <c r="N50" s="128"/>
      <c r="O50" s="8"/>
      <c r="P50" s="8"/>
      <c r="Q50" s="129"/>
      <c r="R50" s="129"/>
      <c r="S50" s="8"/>
    </row>
    <row r="51" spans="1:19" ht="12.75">
      <c r="A51" s="121"/>
      <c r="B51" s="122"/>
      <c r="C51" s="123" t="s">
        <v>58</v>
      </c>
      <c r="D51" s="124"/>
      <c r="E51" s="124"/>
      <c r="F51" s="124"/>
      <c r="G51" s="124"/>
      <c r="H51" s="124"/>
      <c r="I51" s="124"/>
      <c r="J51" s="124"/>
      <c r="K51" s="125"/>
      <c r="L51" s="130" t="s">
        <v>59</v>
      </c>
      <c r="M51" s="131"/>
      <c r="N51" s="132"/>
      <c r="O51" s="38">
        <v>0.05</v>
      </c>
      <c r="P51" s="39"/>
      <c r="Q51" s="68">
        <f>SUM(O51*2487*12)</f>
        <v>1492.2</v>
      </c>
      <c r="R51" s="68"/>
      <c r="S51" s="38"/>
    </row>
    <row r="52" spans="1:19" ht="12.75">
      <c r="A52" s="121"/>
      <c r="B52" s="122"/>
      <c r="C52" s="123" t="s">
        <v>60</v>
      </c>
      <c r="D52" s="124"/>
      <c r="E52" s="124"/>
      <c r="F52" s="124"/>
      <c r="G52" s="124"/>
      <c r="H52" s="124"/>
      <c r="I52" s="124"/>
      <c r="J52" s="124"/>
      <c r="K52" s="125"/>
      <c r="L52" s="130" t="s">
        <v>59</v>
      </c>
      <c r="M52" s="131"/>
      <c r="N52" s="132"/>
      <c r="O52" s="38">
        <v>0.05</v>
      </c>
      <c r="P52" s="39"/>
      <c r="Q52" s="68">
        <f aca="true" t="shared" si="9" ref="Q52:Q58">SUM(O52*2487*12)</f>
        <v>1492.2</v>
      </c>
      <c r="R52" s="68"/>
      <c r="S52" s="38"/>
    </row>
    <row r="53" spans="1:19" ht="12.75">
      <c r="A53" s="121"/>
      <c r="B53" s="122"/>
      <c r="C53" s="123" t="s">
        <v>61</v>
      </c>
      <c r="D53" s="124"/>
      <c r="E53" s="124"/>
      <c r="F53" s="124"/>
      <c r="G53" s="124"/>
      <c r="H53" s="124"/>
      <c r="I53" s="124"/>
      <c r="J53" s="124"/>
      <c r="K53" s="125"/>
      <c r="L53" s="130" t="s">
        <v>62</v>
      </c>
      <c r="M53" s="131"/>
      <c r="N53" s="132"/>
      <c r="O53" s="38">
        <v>0.15</v>
      </c>
      <c r="P53" s="39"/>
      <c r="Q53" s="68">
        <f t="shared" si="9"/>
        <v>4476.6</v>
      </c>
      <c r="R53" s="68"/>
      <c r="S53" s="38"/>
    </row>
    <row r="54" spans="1:19" ht="12.75">
      <c r="A54" s="133"/>
      <c r="B54" s="67"/>
      <c r="C54" s="134" t="s">
        <v>63</v>
      </c>
      <c r="D54" s="135"/>
      <c r="E54" s="135"/>
      <c r="F54" s="135"/>
      <c r="G54" s="135"/>
      <c r="H54" s="135"/>
      <c r="I54" s="135"/>
      <c r="J54" s="135"/>
      <c r="K54" s="136"/>
      <c r="L54" s="130" t="s">
        <v>59</v>
      </c>
      <c r="M54" s="131"/>
      <c r="N54" s="132"/>
      <c r="O54" s="5">
        <v>0.15</v>
      </c>
      <c r="P54" s="5"/>
      <c r="Q54" s="68">
        <f t="shared" si="9"/>
        <v>4476.6</v>
      </c>
      <c r="R54" s="68"/>
      <c r="S54" s="5"/>
    </row>
    <row r="55" spans="1:19" ht="12.75">
      <c r="A55" s="68"/>
      <c r="B55" s="68"/>
      <c r="C55" s="137" t="s">
        <v>64</v>
      </c>
      <c r="D55" s="138"/>
      <c r="E55" s="138"/>
      <c r="F55" s="138"/>
      <c r="G55" s="138"/>
      <c r="H55" s="138"/>
      <c r="I55" s="138"/>
      <c r="J55" s="138"/>
      <c r="K55" s="139"/>
      <c r="L55" s="140" t="s">
        <v>65</v>
      </c>
      <c r="M55" s="141"/>
      <c r="N55" s="142"/>
      <c r="O55" s="5">
        <v>0.25</v>
      </c>
      <c r="P55" s="5"/>
      <c r="Q55" s="68">
        <f t="shared" si="9"/>
        <v>7461</v>
      </c>
      <c r="R55" s="68"/>
      <c r="S55" s="5"/>
    </row>
    <row r="56" spans="1:19" ht="12.75">
      <c r="A56" s="133"/>
      <c r="B56" s="67"/>
      <c r="C56" s="137" t="s">
        <v>66</v>
      </c>
      <c r="D56" s="138"/>
      <c r="E56" s="138"/>
      <c r="F56" s="138"/>
      <c r="G56" s="138"/>
      <c r="H56" s="138"/>
      <c r="I56" s="138"/>
      <c r="J56" s="138"/>
      <c r="K56" s="139"/>
      <c r="L56" s="140" t="s">
        <v>65</v>
      </c>
      <c r="M56" s="141"/>
      <c r="N56" s="142"/>
      <c r="O56" s="5">
        <v>0.1</v>
      </c>
      <c r="P56" s="40"/>
      <c r="Q56" s="68">
        <f t="shared" si="9"/>
        <v>2984.4</v>
      </c>
      <c r="R56" s="68"/>
      <c r="S56" s="5"/>
    </row>
    <row r="57" spans="1:19" ht="12.75">
      <c r="A57" s="68"/>
      <c r="B57" s="68"/>
      <c r="C57" s="134" t="s">
        <v>67</v>
      </c>
      <c r="D57" s="135"/>
      <c r="E57" s="135"/>
      <c r="F57" s="135"/>
      <c r="G57" s="135"/>
      <c r="H57" s="135"/>
      <c r="I57" s="135"/>
      <c r="J57" s="135"/>
      <c r="K57" s="136"/>
      <c r="L57" s="140" t="s">
        <v>65</v>
      </c>
      <c r="M57" s="141"/>
      <c r="N57" s="142"/>
      <c r="O57" s="5">
        <v>0.25</v>
      </c>
      <c r="P57" s="5"/>
      <c r="Q57" s="68">
        <f t="shared" si="9"/>
        <v>7461</v>
      </c>
      <c r="R57" s="68"/>
      <c r="S57" s="5"/>
    </row>
    <row r="58" spans="1:19" ht="12.75">
      <c r="A58" s="41"/>
      <c r="B58" s="10"/>
      <c r="C58" s="144" t="s">
        <v>68</v>
      </c>
      <c r="D58" s="144"/>
      <c r="E58" s="144"/>
      <c r="F58" s="144"/>
      <c r="G58" s="144"/>
      <c r="H58" s="144"/>
      <c r="I58" s="144"/>
      <c r="J58" s="144"/>
      <c r="K58" s="144"/>
      <c r="L58" s="130" t="s">
        <v>59</v>
      </c>
      <c r="M58" s="131"/>
      <c r="N58" s="132"/>
      <c r="O58" s="4">
        <v>1</v>
      </c>
      <c r="P58" s="42"/>
      <c r="Q58" s="68">
        <f t="shared" si="9"/>
        <v>29844</v>
      </c>
      <c r="R58" s="68"/>
      <c r="S58" s="5"/>
    </row>
    <row r="59" spans="5:19" ht="12.75">
      <c r="E59" s="145" t="s">
        <v>15</v>
      </c>
      <c r="F59" s="146"/>
      <c r="G59" s="146"/>
      <c r="H59" s="146"/>
      <c r="I59" s="146"/>
      <c r="J59" s="146"/>
      <c r="K59" s="146"/>
      <c r="L59" s="146"/>
      <c r="M59" s="146"/>
      <c r="N59" s="147"/>
      <c r="O59" s="9">
        <f>SUM(O51:O58)</f>
        <v>2</v>
      </c>
      <c r="P59" s="43"/>
      <c r="Q59" s="148">
        <f>SUM(Q51:Q58)</f>
        <v>59688</v>
      </c>
      <c r="R59" s="148"/>
      <c r="S59" s="5"/>
    </row>
  </sheetData>
  <sheetProtection/>
  <mergeCells count="77">
    <mergeCell ref="R30:S30"/>
    <mergeCell ref="C58:K58"/>
    <mergeCell ref="L58:N58"/>
    <mergeCell ref="Q58:R58"/>
    <mergeCell ref="E59:N59"/>
    <mergeCell ref="Q59:R59"/>
    <mergeCell ref="S48:S49"/>
    <mergeCell ref="A56:B56"/>
    <mergeCell ref="C56:K56"/>
    <mergeCell ref="L56:N56"/>
    <mergeCell ref="Q56:R56"/>
    <mergeCell ref="A57:B57"/>
    <mergeCell ref="C57:K57"/>
    <mergeCell ref="L57:N57"/>
    <mergeCell ref="Q57:R57"/>
    <mergeCell ref="A54:B54"/>
    <mergeCell ref="C54:K54"/>
    <mergeCell ref="L54:N54"/>
    <mergeCell ref="Q54:R54"/>
    <mergeCell ref="A55:B55"/>
    <mergeCell ref="C55:K55"/>
    <mergeCell ref="L55:N55"/>
    <mergeCell ref="Q55:R55"/>
    <mergeCell ref="A52:B52"/>
    <mergeCell ref="C52:K52"/>
    <mergeCell ref="L52:N52"/>
    <mergeCell ref="Q52:R52"/>
    <mergeCell ref="A53:B53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A14:E14"/>
    <mergeCell ref="F14:S14"/>
    <mergeCell ref="A15:D15"/>
    <mergeCell ref="A47:S47"/>
    <mergeCell ref="A48:B49"/>
    <mergeCell ref="C48:K49"/>
    <mergeCell ref="L48:N49"/>
    <mergeCell ref="O48:O49"/>
    <mergeCell ref="P48:P49"/>
    <mergeCell ref="Q48:R4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</mergeCells>
  <printOptions/>
  <pageMargins left="0.07291666666666667" right="0.08333333333333333" top="0.052083333333333336" bottom="0.020833333333333332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2017-02-03T09:21:30Z</cp:lastPrinted>
  <dcterms:created xsi:type="dcterms:W3CDTF">2007-02-04T12:22:59Z</dcterms:created>
  <dcterms:modified xsi:type="dcterms:W3CDTF">2017-02-07T04:47:45Z</dcterms:modified>
  <cp:category/>
  <cp:version/>
  <cp:contentType/>
  <cp:contentStatus/>
</cp:coreProperties>
</file>