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6" sheetId="1" r:id="rId1"/>
  </sheets>
  <definedNames>
    <definedName name="_xlnm.Print_Area" localSheetId="0">'2016'!$B$37:$I$46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22100-линокром
300-петли на ляды
450-ключ от подвала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800р-ремонт лавочек
491р-краска
3173р-покос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3173р-покос
443р-смена досок скамеек
5794р-дезинсекция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тех.обслуживание ОДГО-252,05р</t>
        </r>
      </text>
    </comment>
  </commentList>
</comments>
</file>

<file path=xl/sharedStrings.xml><?xml version="1.0" encoding="utf-8"?>
<sst xmlns="http://schemas.openxmlformats.org/spreadsheetml/2006/main" count="89" uniqueCount="80">
  <si>
    <t>Содержание</t>
  </si>
  <si>
    <t>итого</t>
  </si>
  <si>
    <t>Балаев</t>
  </si>
  <si>
    <t>Сидоренко</t>
  </si>
  <si>
    <t>Щербань</t>
  </si>
  <si>
    <t>январь</t>
  </si>
  <si>
    <t>май</t>
  </si>
  <si>
    <t>июнь</t>
  </si>
  <si>
    <t>июль</t>
  </si>
  <si>
    <t>август</t>
  </si>
  <si>
    <t>Наименование работ</t>
  </si>
  <si>
    <t>ИТОГО</t>
  </si>
  <si>
    <t>март</t>
  </si>
  <si>
    <t>октябрь</t>
  </si>
  <si>
    <t>серди</t>
  </si>
  <si>
    <t>ремонт лавочек</t>
  </si>
  <si>
    <t>Итого</t>
  </si>
  <si>
    <t>краска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</si>
  <si>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</si>
  <si>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</si>
  <si>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</si>
  <si>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</si>
  <si>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</si>
  <si>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</si>
  <si>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</si>
  <si>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</si>
  <si>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</si>
  <si>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</si>
  <si>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</si>
  <si>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</si>
  <si>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</si>
  <si>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</si>
  <si>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</si>
  <si>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</si>
  <si>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</si>
  <si>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</si>
  <si>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</si>
  <si>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</si>
  <si>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</si>
  <si>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</si>
  <si>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</si>
  <si>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</si>
  <si>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</si>
  <si>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</si>
  <si>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</si>
  <si>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</si>
  <si>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</si>
  <si>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</si>
  <si>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</si>
  <si>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</si>
  <si>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</si>
  <si>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</si>
  <si>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</si>
  <si>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</si>
  <si>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</si>
  <si>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</si>
  <si>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</si>
  <si>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</si>
  <si>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</si>
  <si>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</si>
  <si>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</si>
  <si>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</si>
  <si>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</si>
  <si>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</si>
  <si>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</si>
  <si>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</si>
  <si>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</si>
  <si>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</si>
  <si>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</si>
  <si>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</si>
  <si>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Информация о доходах и расходах по дому __Калинина 129/1__на 2016год.</t>
  </si>
  <si>
    <t>ИТОГО:</t>
  </si>
  <si>
    <t>линокром</t>
  </si>
  <si>
    <t>петли на ляды</t>
  </si>
  <si>
    <t>ключ от подвала</t>
  </si>
  <si>
    <t>покос</t>
  </si>
  <si>
    <t>покос (июль)</t>
  </si>
  <si>
    <t>смена досок садовых скамеек</t>
  </si>
  <si>
    <t>дезинсекция</t>
  </si>
  <si>
    <t>тех.обслуживание ОДГО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</si>
</sst>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&quot;р.&quot;"/>
    <numFmt numFmtId="172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33" borderId="12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left" wrapText="1"/>
    </xf>
    <xf numFmtId="2" fontId="47" fillId="0" borderId="11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 wrapText="1"/>
    </xf>
    <xf numFmtId="2" fontId="2" fillId="0" borderId="11" xfId="0" applyNumberFormat="1" applyFont="1" applyBorder="1" applyAlignment="1">
      <alignment horizontal="center" vertical="top"/>
    </xf>
    <xf numFmtId="4" fontId="2" fillId="33" borderId="10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2" fillId="34" borderId="10" xfId="0" applyNumberFormat="1" applyFont="1" applyFill="1" applyBorder="1" applyAlignment="1">
      <alignment horizontal="left"/>
    </xf>
    <xf numFmtId="164" fontId="1" fillId="13" borderId="10" xfId="0" applyNumberFormat="1" applyFont="1" applyFill="1" applyBorder="1" applyAlignment="1">
      <alignment/>
    </xf>
    <xf numFmtId="164" fontId="1" fillId="13" borderId="11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164" fontId="1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1" fillId="9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9" fillId="7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164" fontId="9" fillId="13" borderId="1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1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1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textRotation="90" wrapText="1"/>
    </xf>
    <xf numFmtId="2" fontId="1" fillId="0" borderId="11" xfId="0" applyNumberFormat="1" applyFont="1" applyBorder="1" applyAlignment="1">
      <alignment horizontal="left" textRotation="90" wrapText="1"/>
    </xf>
    <xf numFmtId="2" fontId="4" fillId="0" borderId="14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4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S59"/>
  <sheetViews>
    <sheetView tabSelected="1" workbookViewId="0" topLeftCell="A4">
      <selection activeCell="N16" sqref="N16"/>
    </sheetView>
  </sheetViews>
  <sheetFormatPr defaultColWidth="9.00390625" defaultRowHeight="12.75"/>
  <cols>
    <col min="1" max="1" width="4.875" style="0" customWidth="1"/>
    <col min="2" max="2" width="9.625" style="0" customWidth="1"/>
    <col min="3" max="3" width="10.125" style="0" customWidth="1"/>
    <col min="4" max="4" width="5.125" style="0" customWidth="1"/>
    <col min="5" max="5" width="9.75390625" style="0" customWidth="1"/>
    <col min="6" max="6" width="8.875" style="0" customWidth="1"/>
    <col min="8" max="8" width="9.75390625" style="0" customWidth="1"/>
    <col min="9" max="9" width="9.00390625" style="0" customWidth="1"/>
    <col min="11" max="11" width="6.125" style="0" hidden="1" customWidth="1"/>
    <col min="12" max="12" width="0.12890625" style="0" hidden="1" customWidth="1"/>
    <col min="13" max="13" width="9.75390625" style="0" customWidth="1"/>
    <col min="14" max="14" width="8.00390625" style="0" customWidth="1"/>
    <col min="15" max="15" width="9.75390625" style="0" customWidth="1"/>
    <col min="16" max="16" width="11.75390625" style="0" bestFit="1" customWidth="1"/>
    <col min="17" max="17" width="8.375" style="0" customWidth="1"/>
    <col min="18" max="18" width="9.00390625" style="0" customWidth="1"/>
    <col min="19" max="19" width="8.375" style="0" customWidth="1"/>
  </cols>
  <sheetData>
    <row r="1" ht="3.75" customHeight="1" hidden="1"/>
    <row r="2" ht="12.75" hidden="1"/>
    <row r="3" ht="12.75" hidden="1"/>
    <row r="4" spans="1:19" ht="15.75">
      <c r="A4" s="65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2.75">
      <c r="A6" s="67"/>
      <c r="B6" s="62"/>
      <c r="C6" s="62"/>
      <c r="D6" s="62"/>
      <c r="E6" s="68"/>
      <c r="F6" s="69" t="s">
        <v>18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1"/>
    </row>
    <row r="7" spans="1:19" ht="12.75">
      <c r="A7" s="6"/>
      <c r="B7" s="70" t="s">
        <v>19</v>
      </c>
      <c r="C7" s="71"/>
      <c r="D7" s="71"/>
      <c r="E7" s="72"/>
      <c r="F7" s="73" t="s">
        <v>0</v>
      </c>
      <c r="G7" s="74"/>
      <c r="H7" s="74"/>
      <c r="I7" s="74"/>
      <c r="J7" s="74"/>
      <c r="K7" s="74"/>
      <c r="L7" s="74"/>
      <c r="M7" s="74"/>
      <c r="N7" s="74"/>
      <c r="O7" s="75"/>
      <c r="P7" s="76" t="s">
        <v>20</v>
      </c>
      <c r="Q7" s="77"/>
      <c r="R7" s="80" t="s">
        <v>21</v>
      </c>
      <c r="S7" s="83" t="s">
        <v>11</v>
      </c>
    </row>
    <row r="8" spans="1:19" ht="12.75">
      <c r="A8" s="7"/>
      <c r="B8" s="63" t="s">
        <v>22</v>
      </c>
      <c r="C8" s="63" t="s">
        <v>23</v>
      </c>
      <c r="D8" s="63" t="s">
        <v>24</v>
      </c>
      <c r="E8" s="88" t="s">
        <v>1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30</v>
      </c>
      <c r="L8" s="86" t="s">
        <v>31</v>
      </c>
      <c r="M8" s="86" t="s">
        <v>32</v>
      </c>
      <c r="N8" s="86" t="s">
        <v>33</v>
      </c>
      <c r="O8" s="90" t="s">
        <v>34</v>
      </c>
      <c r="P8" s="78"/>
      <c r="Q8" s="79"/>
      <c r="R8" s="81"/>
      <c r="S8" s="84"/>
    </row>
    <row r="9" spans="1:19" ht="79.5" customHeight="1">
      <c r="A9" s="9"/>
      <c r="B9" s="64"/>
      <c r="C9" s="64"/>
      <c r="D9" s="64"/>
      <c r="E9" s="89"/>
      <c r="F9" s="87"/>
      <c r="G9" s="87"/>
      <c r="H9" s="87"/>
      <c r="I9" s="87"/>
      <c r="J9" s="87"/>
      <c r="K9" s="87"/>
      <c r="L9" s="87"/>
      <c r="M9" s="87"/>
      <c r="N9" s="87"/>
      <c r="O9" s="91"/>
      <c r="P9" s="8" t="s">
        <v>35</v>
      </c>
      <c r="Q9" s="8" t="s">
        <v>36</v>
      </c>
      <c r="R9" s="82"/>
      <c r="S9" s="85"/>
    </row>
    <row r="10" spans="1:19" ht="12.75">
      <c r="A10" s="46">
        <v>2015</v>
      </c>
      <c r="B10" s="5">
        <v>6</v>
      </c>
      <c r="C10" s="5">
        <v>3</v>
      </c>
      <c r="D10" s="5">
        <v>1</v>
      </c>
      <c r="E10" s="10">
        <f>SUM(B10:D10)</f>
        <v>10</v>
      </c>
      <c r="F10" s="45">
        <v>0.86</v>
      </c>
      <c r="G10" s="12">
        <v>1.11</v>
      </c>
      <c r="H10" s="12">
        <v>1.41</v>
      </c>
      <c r="I10" s="12">
        <v>0.27</v>
      </c>
      <c r="J10" s="12">
        <v>1.85</v>
      </c>
      <c r="K10" s="12">
        <v>0</v>
      </c>
      <c r="L10" s="12">
        <v>0</v>
      </c>
      <c r="M10" s="12">
        <v>1.47</v>
      </c>
      <c r="N10" s="12">
        <v>0</v>
      </c>
      <c r="O10" s="13">
        <f>SUM(F10:N10)</f>
        <v>6.97</v>
      </c>
      <c r="P10" s="92">
        <v>2.07</v>
      </c>
      <c r="Q10" s="93"/>
      <c r="R10" s="14">
        <v>0.84</v>
      </c>
      <c r="S10" s="11">
        <f>SUM(O10:R10)</f>
        <v>9.879999999999999</v>
      </c>
    </row>
    <row r="11" spans="1:19" ht="12.75">
      <c r="A11" s="47">
        <v>2016</v>
      </c>
      <c r="B11" s="15">
        <v>10</v>
      </c>
      <c r="C11" s="15">
        <v>2.5</v>
      </c>
      <c r="D11" s="15">
        <v>1.5</v>
      </c>
      <c r="E11" s="16">
        <f>SUM(B11:D11)</f>
        <v>14</v>
      </c>
      <c r="F11" s="50">
        <v>1</v>
      </c>
      <c r="G11" s="50">
        <v>1.15</v>
      </c>
      <c r="H11" s="50">
        <v>1.6</v>
      </c>
      <c r="I11" s="50">
        <v>0.5</v>
      </c>
      <c r="J11" s="50">
        <v>1.75</v>
      </c>
      <c r="K11" s="50">
        <v>0</v>
      </c>
      <c r="L11" s="50">
        <v>0</v>
      </c>
      <c r="M11" s="50">
        <v>2</v>
      </c>
      <c r="N11" s="50">
        <v>2</v>
      </c>
      <c r="O11" s="51">
        <f>SUM(F11:N11)</f>
        <v>10</v>
      </c>
      <c r="P11" s="52">
        <v>1.25</v>
      </c>
      <c r="Q11" s="52">
        <v>1.25</v>
      </c>
      <c r="R11" s="53">
        <v>1.5</v>
      </c>
      <c r="S11" s="17">
        <f>SUM(O11:R11)</f>
        <v>14</v>
      </c>
    </row>
    <row r="12" spans="1:19" ht="24">
      <c r="A12" s="94" t="s">
        <v>37</v>
      </c>
      <c r="B12" s="95"/>
      <c r="C12" s="95"/>
      <c r="D12" s="96"/>
      <c r="E12" s="18">
        <v>5586.2</v>
      </c>
      <c r="F12" s="97" t="s">
        <v>38</v>
      </c>
      <c r="G12" s="98"/>
      <c r="H12" s="98"/>
      <c r="I12" s="98"/>
      <c r="J12" s="98"/>
      <c r="K12" s="98"/>
      <c r="L12" s="98"/>
      <c r="M12" s="98"/>
      <c r="N12" s="99"/>
      <c r="O12" s="17"/>
      <c r="P12" s="100" t="s">
        <v>39</v>
      </c>
      <c r="Q12" s="101"/>
      <c r="R12" s="17" t="s">
        <v>40</v>
      </c>
      <c r="S12" s="17"/>
    </row>
    <row r="13" spans="1:19" ht="12.75">
      <c r="A13" s="102" t="s">
        <v>41</v>
      </c>
      <c r="B13" s="103"/>
      <c r="C13" s="103"/>
      <c r="D13" s="103"/>
      <c r="E13" s="104"/>
      <c r="F13" s="19">
        <f>E12*F11</f>
        <v>5586.2</v>
      </c>
      <c r="G13" s="19">
        <f>E12*G11</f>
        <v>6424.129999999999</v>
      </c>
      <c r="H13" s="19">
        <f>E12*H11</f>
        <v>8937.92</v>
      </c>
      <c r="I13" s="19">
        <f>E12*I11</f>
        <v>2793.1</v>
      </c>
      <c r="J13" s="19">
        <f>E12*J11</f>
        <v>9775.85</v>
      </c>
      <c r="K13" s="19">
        <f aca="true" t="shared" si="0" ref="K13:S13">SUM(K11*2002.5)</f>
        <v>0</v>
      </c>
      <c r="L13" s="19">
        <f t="shared" si="0"/>
        <v>0</v>
      </c>
      <c r="M13" s="19">
        <f>E12*M11</f>
        <v>11172.4</v>
      </c>
      <c r="N13" s="19">
        <f>E12*N11</f>
        <v>11172.4</v>
      </c>
      <c r="O13" s="19">
        <f t="shared" si="0"/>
        <v>20025</v>
      </c>
      <c r="P13" s="19">
        <f>E12*P11</f>
        <v>6982.75</v>
      </c>
      <c r="Q13" s="19">
        <f>E12*Q11</f>
        <v>6982.75</v>
      </c>
      <c r="R13" s="19">
        <f>E12*R11</f>
        <v>8379.3</v>
      </c>
      <c r="S13" s="19">
        <f t="shared" si="0"/>
        <v>28035</v>
      </c>
    </row>
    <row r="14" spans="1:19" ht="12.75">
      <c r="A14" s="105" t="s">
        <v>42</v>
      </c>
      <c r="B14" s="105"/>
      <c r="C14" s="105"/>
      <c r="D14" s="105"/>
      <c r="E14" s="106"/>
      <c r="F14" s="107" t="s">
        <v>43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9"/>
    </row>
    <row r="15" spans="1:19" ht="12.75">
      <c r="A15" s="110" t="s">
        <v>44</v>
      </c>
      <c r="B15" s="110"/>
      <c r="C15" s="110"/>
      <c r="D15" s="111"/>
      <c r="E15" s="20">
        <v>-221533.11119999987</v>
      </c>
      <c r="F15" s="21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4"/>
    </row>
    <row r="16" spans="1:19" ht="12.75">
      <c r="A16" s="25" t="s">
        <v>45</v>
      </c>
      <c r="B16" s="3">
        <f>20254.42+10768.61+632</f>
        <v>31655.03</v>
      </c>
      <c r="C16" s="3">
        <f>8807.7+4522.9</f>
        <v>13330.6</v>
      </c>
      <c r="D16" s="3">
        <v>0</v>
      </c>
      <c r="E16" s="2">
        <f aca="true" t="shared" si="1" ref="E16:E27">B16+C16+D16</f>
        <v>44985.63</v>
      </c>
      <c r="F16" s="26">
        <f aca="true" t="shared" si="2" ref="F16:F27">5586.2*1</f>
        <v>5586.2</v>
      </c>
      <c r="G16" s="26">
        <f aca="true" t="shared" si="3" ref="G16:G27">5586.2*1.15</f>
        <v>6424.129999999999</v>
      </c>
      <c r="H16" s="27">
        <f aca="true" t="shared" si="4" ref="H16:H27">5586.2*1.6</f>
        <v>8937.92</v>
      </c>
      <c r="I16" s="26">
        <v>2800</v>
      </c>
      <c r="J16" s="26">
        <v>6027.3</v>
      </c>
      <c r="K16" s="26">
        <v>0</v>
      </c>
      <c r="L16" s="26">
        <v>0</v>
      </c>
      <c r="M16" s="26">
        <f aca="true" t="shared" si="5" ref="M16:M27">5586.2*1.5</f>
        <v>8379.3</v>
      </c>
      <c r="N16" s="56">
        <v>22850</v>
      </c>
      <c r="O16" s="43">
        <f aca="true" t="shared" si="6" ref="O16:O27">SUM(F16:N16)</f>
        <v>61004.85</v>
      </c>
      <c r="P16" s="28">
        <v>857</v>
      </c>
      <c r="Q16" s="54">
        <v>0</v>
      </c>
      <c r="R16" s="26">
        <f aca="true" t="shared" si="7" ref="R16:R27">5586.2*1.5</f>
        <v>8379.3</v>
      </c>
      <c r="S16" s="29">
        <f aca="true" t="shared" si="8" ref="S16:S27">O16+P16+Q16+R16</f>
        <v>70241.15</v>
      </c>
    </row>
    <row r="17" spans="1:19" ht="12.75">
      <c r="A17" s="25" t="s">
        <v>46</v>
      </c>
      <c r="B17" s="3">
        <f>23466.8+10260.29+10</f>
        <v>33737.09</v>
      </c>
      <c r="C17" s="3">
        <f>10665.3+4304.6</f>
        <v>14969.9</v>
      </c>
      <c r="D17" s="3">
        <v>0</v>
      </c>
      <c r="E17" s="2">
        <f t="shared" si="1"/>
        <v>48706.99</v>
      </c>
      <c r="F17" s="26">
        <f t="shared" si="2"/>
        <v>5586.2</v>
      </c>
      <c r="G17" s="26">
        <f t="shared" si="3"/>
        <v>6424.129999999999</v>
      </c>
      <c r="H17" s="27">
        <f t="shared" si="4"/>
        <v>8937.92</v>
      </c>
      <c r="I17" s="26">
        <v>2800</v>
      </c>
      <c r="J17" s="26">
        <v>6027.3</v>
      </c>
      <c r="K17" s="26">
        <v>0</v>
      </c>
      <c r="L17" s="26">
        <v>0</v>
      </c>
      <c r="M17" s="26">
        <f t="shared" si="5"/>
        <v>8379.3</v>
      </c>
      <c r="N17" s="56">
        <v>0</v>
      </c>
      <c r="O17" s="43">
        <f t="shared" si="6"/>
        <v>38154.85</v>
      </c>
      <c r="P17" s="28">
        <f>3933+410</f>
        <v>4343</v>
      </c>
      <c r="Q17" s="54">
        <v>17956</v>
      </c>
      <c r="R17" s="26">
        <f t="shared" si="7"/>
        <v>8379.3</v>
      </c>
      <c r="S17" s="29">
        <f t="shared" si="8"/>
        <v>68833.15</v>
      </c>
    </row>
    <row r="18" spans="1:19" ht="12.75">
      <c r="A18" s="25" t="s">
        <v>12</v>
      </c>
      <c r="B18" s="3">
        <f>23169+10138.2+43.17</f>
        <v>33350.369999999995</v>
      </c>
      <c r="C18" s="3">
        <f>11289.74+4252.5+189.6</f>
        <v>15731.84</v>
      </c>
      <c r="D18" s="3">
        <v>0</v>
      </c>
      <c r="E18" s="2">
        <f t="shared" si="1"/>
        <v>49082.20999999999</v>
      </c>
      <c r="F18" s="26">
        <f t="shared" si="2"/>
        <v>5586.2</v>
      </c>
      <c r="G18" s="26">
        <f t="shared" si="3"/>
        <v>6424.129999999999</v>
      </c>
      <c r="H18" s="27">
        <f t="shared" si="4"/>
        <v>8937.92</v>
      </c>
      <c r="I18" s="26">
        <v>2800</v>
      </c>
      <c r="J18" s="26">
        <v>6027.3</v>
      </c>
      <c r="K18" s="26">
        <v>0</v>
      </c>
      <c r="L18" s="26">
        <v>0</v>
      </c>
      <c r="M18" s="26">
        <f t="shared" si="5"/>
        <v>8379.3</v>
      </c>
      <c r="N18" s="56">
        <v>0</v>
      </c>
      <c r="O18" s="43">
        <f t="shared" si="6"/>
        <v>38154.85</v>
      </c>
      <c r="P18" s="28">
        <v>655</v>
      </c>
      <c r="Q18" s="54">
        <f>7083+17685</f>
        <v>24768</v>
      </c>
      <c r="R18" s="26">
        <f t="shared" si="7"/>
        <v>8379.3</v>
      </c>
      <c r="S18" s="29">
        <f t="shared" si="8"/>
        <v>71957.15</v>
      </c>
    </row>
    <row r="19" spans="1:19" ht="12.75">
      <c r="A19" s="25" t="s">
        <v>47</v>
      </c>
      <c r="B19" s="3">
        <f>24490.69+11468+1397</f>
        <v>37355.69</v>
      </c>
      <c r="C19" s="3">
        <f>11392.75+4772.7</f>
        <v>16165.45</v>
      </c>
      <c r="D19" s="3">
        <v>0</v>
      </c>
      <c r="E19" s="2">
        <f t="shared" si="1"/>
        <v>53521.14</v>
      </c>
      <c r="F19" s="26">
        <f t="shared" si="2"/>
        <v>5586.2</v>
      </c>
      <c r="G19" s="26">
        <f t="shared" si="3"/>
        <v>6424.129999999999</v>
      </c>
      <c r="H19" s="27">
        <f t="shared" si="4"/>
        <v>8937.92</v>
      </c>
      <c r="I19" s="26">
        <v>1400</v>
      </c>
      <c r="J19" s="26">
        <v>6027.3</v>
      </c>
      <c r="K19" s="26"/>
      <c r="L19" s="26"/>
      <c r="M19" s="26">
        <f t="shared" si="5"/>
        <v>8379.3</v>
      </c>
      <c r="N19" s="56">
        <v>0</v>
      </c>
      <c r="O19" s="43">
        <f t="shared" si="6"/>
        <v>36754.85</v>
      </c>
      <c r="P19" s="28">
        <v>0</v>
      </c>
      <c r="Q19" s="54">
        <v>0</v>
      </c>
      <c r="R19" s="26">
        <f t="shared" si="7"/>
        <v>8379.3</v>
      </c>
      <c r="S19" s="29">
        <f t="shared" si="8"/>
        <v>45134.149999999994</v>
      </c>
    </row>
    <row r="20" spans="1:19" ht="12.75">
      <c r="A20" s="25" t="s">
        <v>6</v>
      </c>
      <c r="B20" s="3">
        <f>24037.3+11727.9</f>
        <v>35765.2</v>
      </c>
      <c r="C20" s="3">
        <f>10715.55+4933.8+456.3</f>
        <v>16105.649999999998</v>
      </c>
      <c r="D20" s="3">
        <v>0</v>
      </c>
      <c r="E20" s="2">
        <f t="shared" si="1"/>
        <v>51870.84999999999</v>
      </c>
      <c r="F20" s="26">
        <f t="shared" si="2"/>
        <v>5586.2</v>
      </c>
      <c r="G20" s="26">
        <f t="shared" si="3"/>
        <v>6424.129999999999</v>
      </c>
      <c r="H20" s="27">
        <f t="shared" si="4"/>
        <v>8937.92</v>
      </c>
      <c r="I20" s="26">
        <v>1000</v>
      </c>
      <c r="J20" s="26">
        <v>6027.3</v>
      </c>
      <c r="K20" s="26"/>
      <c r="L20" s="26"/>
      <c r="M20" s="26">
        <f t="shared" si="5"/>
        <v>8379.3</v>
      </c>
      <c r="N20" s="56">
        <f>800+491+3173</f>
        <v>4464</v>
      </c>
      <c r="O20" s="43">
        <f t="shared" si="6"/>
        <v>40818.85</v>
      </c>
      <c r="P20" s="28">
        <f>880+1257</f>
        <v>2137</v>
      </c>
      <c r="Q20" s="54">
        <f>15274+10603</f>
        <v>25877</v>
      </c>
      <c r="R20" s="26">
        <f t="shared" si="7"/>
        <v>8379.3</v>
      </c>
      <c r="S20" s="29">
        <f t="shared" si="8"/>
        <v>77212.15000000001</v>
      </c>
    </row>
    <row r="21" spans="1:19" ht="12.75">
      <c r="A21" s="25" t="s">
        <v>7</v>
      </c>
      <c r="B21" s="3">
        <f>24220.07+11288.8+22.6</f>
        <v>35531.469999999994</v>
      </c>
      <c r="C21" s="3">
        <f>10547.27+4923.9+152.1</f>
        <v>15623.27</v>
      </c>
      <c r="D21" s="3">
        <v>0</v>
      </c>
      <c r="E21" s="2">
        <f t="shared" si="1"/>
        <v>51154.73999999999</v>
      </c>
      <c r="F21" s="26">
        <f t="shared" si="2"/>
        <v>5586.2</v>
      </c>
      <c r="G21" s="26">
        <f t="shared" si="3"/>
        <v>6424.129999999999</v>
      </c>
      <c r="H21" s="27">
        <f t="shared" si="4"/>
        <v>8937.92</v>
      </c>
      <c r="I21" s="26">
        <v>1000</v>
      </c>
      <c r="J21" s="26">
        <v>6027.3</v>
      </c>
      <c r="K21" s="26"/>
      <c r="L21" s="26"/>
      <c r="M21" s="26">
        <f t="shared" si="5"/>
        <v>8379.3</v>
      </c>
      <c r="N21" s="56">
        <v>0</v>
      </c>
      <c r="O21" s="43">
        <f t="shared" si="6"/>
        <v>36354.85</v>
      </c>
      <c r="P21" s="28">
        <v>0</v>
      </c>
      <c r="Q21" s="54">
        <v>0</v>
      </c>
      <c r="R21" s="26">
        <f t="shared" si="7"/>
        <v>8379.3</v>
      </c>
      <c r="S21" s="29">
        <f t="shared" si="8"/>
        <v>44734.149999999994</v>
      </c>
    </row>
    <row r="22" spans="1:19" ht="12.75">
      <c r="A22" s="25" t="s">
        <v>8</v>
      </c>
      <c r="B22" s="3">
        <f>19683.2+10599.6+742.36</f>
        <v>31025.160000000003</v>
      </c>
      <c r="C22" s="3">
        <f>8755.2+4757.1+311.81</f>
        <v>13824.11</v>
      </c>
      <c r="D22" s="3">
        <v>0</v>
      </c>
      <c r="E22" s="2">
        <f t="shared" si="1"/>
        <v>44849.270000000004</v>
      </c>
      <c r="F22" s="26">
        <f t="shared" si="2"/>
        <v>5586.2</v>
      </c>
      <c r="G22" s="26">
        <f t="shared" si="3"/>
        <v>6424.129999999999</v>
      </c>
      <c r="H22" s="27">
        <f t="shared" si="4"/>
        <v>8937.92</v>
      </c>
      <c r="I22" s="26">
        <v>1000</v>
      </c>
      <c r="J22" s="26">
        <v>6027.3</v>
      </c>
      <c r="K22" s="26"/>
      <c r="L22" s="26"/>
      <c r="M22" s="26">
        <f t="shared" si="5"/>
        <v>8379.3</v>
      </c>
      <c r="N22" s="56">
        <v>0</v>
      </c>
      <c r="O22" s="43">
        <f t="shared" si="6"/>
        <v>36354.85</v>
      </c>
      <c r="P22" s="28">
        <v>0</v>
      </c>
      <c r="Q22" s="54">
        <v>0</v>
      </c>
      <c r="R22" s="26">
        <f t="shared" si="7"/>
        <v>8379.3</v>
      </c>
      <c r="S22" s="29">
        <f t="shared" si="8"/>
        <v>44734.149999999994</v>
      </c>
    </row>
    <row r="23" spans="1:19" ht="12.75">
      <c r="A23" s="25" t="s">
        <v>9</v>
      </c>
      <c r="B23" s="3">
        <f>35125.3+22025.5+1700.5</f>
        <v>58851.3</v>
      </c>
      <c r="C23" s="3">
        <f>8659.04+5167.75</f>
        <v>13826.79</v>
      </c>
      <c r="D23" s="3">
        <v>0</v>
      </c>
      <c r="E23" s="2">
        <f t="shared" si="1"/>
        <v>72678.09</v>
      </c>
      <c r="F23" s="26">
        <f t="shared" si="2"/>
        <v>5586.2</v>
      </c>
      <c r="G23" s="26">
        <f t="shared" si="3"/>
        <v>6424.129999999999</v>
      </c>
      <c r="H23" s="27">
        <f t="shared" si="4"/>
        <v>8937.92</v>
      </c>
      <c r="I23" s="26">
        <v>1000</v>
      </c>
      <c r="J23" s="26">
        <v>6027.3</v>
      </c>
      <c r="K23" s="26">
        <v>6027.3</v>
      </c>
      <c r="L23" s="26">
        <v>6027.3</v>
      </c>
      <c r="M23" s="26">
        <f t="shared" si="5"/>
        <v>8379.3</v>
      </c>
      <c r="N23" s="56">
        <f>3173+443+5794</f>
        <v>9410</v>
      </c>
      <c r="O23" s="43">
        <f t="shared" si="6"/>
        <v>57819.45</v>
      </c>
      <c r="P23" s="28">
        <f>26508+7472+2081</f>
        <v>36061</v>
      </c>
      <c r="Q23" s="54">
        <v>0</v>
      </c>
      <c r="R23" s="26">
        <f t="shared" si="7"/>
        <v>8379.3</v>
      </c>
      <c r="S23" s="29">
        <f t="shared" si="8"/>
        <v>102259.75</v>
      </c>
    </row>
    <row r="24" spans="1:19" ht="12.75">
      <c r="A24" s="25" t="s">
        <v>48</v>
      </c>
      <c r="B24" s="3">
        <f>39148.6+18728.05+1737.65</f>
        <v>59614.299999999996</v>
      </c>
      <c r="C24" s="3">
        <f>9822.36+4059+344.79</f>
        <v>14226.150000000001</v>
      </c>
      <c r="D24" s="3">
        <v>0</v>
      </c>
      <c r="E24" s="2">
        <f t="shared" si="1"/>
        <v>73840.45</v>
      </c>
      <c r="F24" s="26">
        <f t="shared" si="2"/>
        <v>5586.2</v>
      </c>
      <c r="G24" s="26">
        <f t="shared" si="3"/>
        <v>6424.129999999999</v>
      </c>
      <c r="H24" s="27">
        <f t="shared" si="4"/>
        <v>8937.92</v>
      </c>
      <c r="I24" s="26">
        <v>1000</v>
      </c>
      <c r="J24" s="26">
        <v>6027.3</v>
      </c>
      <c r="K24" s="26"/>
      <c r="L24" s="26"/>
      <c r="M24" s="26">
        <f t="shared" si="5"/>
        <v>8379.3</v>
      </c>
      <c r="N24" s="56">
        <v>0</v>
      </c>
      <c r="O24" s="43">
        <f t="shared" si="6"/>
        <v>36354.85</v>
      </c>
      <c r="P24" s="28">
        <f>2136+91347</f>
        <v>93483</v>
      </c>
      <c r="Q24" s="54">
        <v>17574</v>
      </c>
      <c r="R24" s="26">
        <f t="shared" si="7"/>
        <v>8379.3</v>
      </c>
      <c r="S24" s="29">
        <f t="shared" si="8"/>
        <v>155791.15</v>
      </c>
    </row>
    <row r="25" spans="1:19" ht="12.75">
      <c r="A25" s="25" t="s">
        <v>49</v>
      </c>
      <c r="B25" s="3">
        <f>44627.75+18975+1247.04</f>
        <v>64849.79</v>
      </c>
      <c r="C25" s="3">
        <f>10433.3+4423+282.25</f>
        <v>15138.55</v>
      </c>
      <c r="D25" s="3">
        <v>0</v>
      </c>
      <c r="E25" s="2">
        <f t="shared" si="1"/>
        <v>79988.34</v>
      </c>
      <c r="F25" s="26">
        <f t="shared" si="2"/>
        <v>5586.2</v>
      </c>
      <c r="G25" s="26">
        <f t="shared" si="3"/>
        <v>6424.129999999999</v>
      </c>
      <c r="H25" s="27">
        <f t="shared" si="4"/>
        <v>8937.92</v>
      </c>
      <c r="I25" s="26">
        <v>1900</v>
      </c>
      <c r="J25" s="26">
        <v>6027.3</v>
      </c>
      <c r="K25" s="26"/>
      <c r="L25" s="26"/>
      <c r="M25" s="26">
        <f t="shared" si="5"/>
        <v>8379.3</v>
      </c>
      <c r="N25" s="56">
        <v>252.05</v>
      </c>
      <c r="O25" s="43">
        <f t="shared" si="6"/>
        <v>37506.9</v>
      </c>
      <c r="P25" s="28">
        <v>1291</v>
      </c>
      <c r="Q25" s="54">
        <v>0</v>
      </c>
      <c r="R25" s="26">
        <f t="shared" si="7"/>
        <v>8379.3</v>
      </c>
      <c r="S25" s="29">
        <f t="shared" si="8"/>
        <v>47177.2</v>
      </c>
    </row>
    <row r="26" spans="1:19" ht="12.75">
      <c r="A26" s="25" t="s">
        <v>50</v>
      </c>
      <c r="B26" s="3">
        <f>31236.75+22040.92+1233.95</f>
        <v>54511.619999999995</v>
      </c>
      <c r="C26" s="3">
        <f>7085.5+5374.64+268.25</f>
        <v>12728.39</v>
      </c>
      <c r="D26" s="3">
        <v>0</v>
      </c>
      <c r="E26" s="2">
        <f t="shared" si="1"/>
        <v>67240.01</v>
      </c>
      <c r="F26" s="26">
        <f t="shared" si="2"/>
        <v>5586.2</v>
      </c>
      <c r="G26" s="26">
        <f t="shared" si="3"/>
        <v>6424.129999999999</v>
      </c>
      <c r="H26" s="27">
        <f t="shared" si="4"/>
        <v>8937.92</v>
      </c>
      <c r="I26" s="26">
        <v>2800</v>
      </c>
      <c r="J26" s="26">
        <v>6027.3</v>
      </c>
      <c r="K26" s="26"/>
      <c r="L26" s="26"/>
      <c r="M26" s="26">
        <f t="shared" si="5"/>
        <v>8379.3</v>
      </c>
      <c r="N26" s="56">
        <v>0</v>
      </c>
      <c r="O26" s="43">
        <f t="shared" si="6"/>
        <v>38154.85</v>
      </c>
      <c r="P26" s="28">
        <v>425</v>
      </c>
      <c r="Q26" s="54">
        <v>16862</v>
      </c>
      <c r="R26" s="26">
        <f t="shared" si="7"/>
        <v>8379.3</v>
      </c>
      <c r="S26" s="29">
        <f t="shared" si="8"/>
        <v>63821.149999999994</v>
      </c>
    </row>
    <row r="27" spans="1:19" ht="12.75">
      <c r="A27" s="25" t="s">
        <v>51</v>
      </c>
      <c r="B27" s="3">
        <f>47834.95+19651.9+4129.18</f>
        <v>71616.03</v>
      </c>
      <c r="C27" s="3">
        <f>11133.5+4325.25+158</f>
        <v>15616.75</v>
      </c>
      <c r="D27" s="3">
        <v>0</v>
      </c>
      <c r="E27" s="2">
        <f t="shared" si="1"/>
        <v>87232.78</v>
      </c>
      <c r="F27" s="26">
        <f t="shared" si="2"/>
        <v>5586.2</v>
      </c>
      <c r="G27" s="26">
        <f t="shared" si="3"/>
        <v>6424.129999999999</v>
      </c>
      <c r="H27" s="27">
        <f t="shared" si="4"/>
        <v>8937.92</v>
      </c>
      <c r="I27" s="26">
        <v>2800</v>
      </c>
      <c r="J27" s="26">
        <v>6027.3</v>
      </c>
      <c r="K27" s="26"/>
      <c r="L27" s="26"/>
      <c r="M27" s="26">
        <f t="shared" si="5"/>
        <v>8379.3</v>
      </c>
      <c r="N27" s="56">
        <v>0</v>
      </c>
      <c r="O27" s="43">
        <f t="shared" si="6"/>
        <v>38154.85</v>
      </c>
      <c r="P27" s="28">
        <v>2913</v>
      </c>
      <c r="Q27" s="54">
        <v>0</v>
      </c>
      <c r="R27" s="26">
        <f t="shared" si="7"/>
        <v>8379.3</v>
      </c>
      <c r="S27" s="29">
        <f t="shared" si="8"/>
        <v>49447.149999999994</v>
      </c>
    </row>
    <row r="28" spans="1:19" ht="36">
      <c r="A28" s="30" t="s">
        <v>52</v>
      </c>
      <c r="B28" s="3">
        <f>2700+2700+2700+2700</f>
        <v>10800</v>
      </c>
      <c r="C28" s="3">
        <v>0</v>
      </c>
      <c r="D28" s="3">
        <v>0</v>
      </c>
      <c r="E28" s="3">
        <f>B28+C28+D28</f>
        <v>10800</v>
      </c>
      <c r="F28" s="26"/>
      <c r="G28" s="26"/>
      <c r="H28" s="26"/>
      <c r="I28" s="26"/>
      <c r="J28" s="26"/>
      <c r="K28" s="26"/>
      <c r="L28" s="26"/>
      <c r="M28" s="26"/>
      <c r="N28" s="56"/>
      <c r="O28" s="43"/>
      <c r="P28" s="28"/>
      <c r="Q28" s="54"/>
      <c r="R28" s="26"/>
      <c r="S28" s="29"/>
    </row>
    <row r="29" spans="1:19" ht="24">
      <c r="A29" s="30" t="s">
        <v>2</v>
      </c>
      <c r="B29" s="3">
        <f>4800+4800</f>
        <v>9600</v>
      </c>
      <c r="C29" s="3">
        <v>0</v>
      </c>
      <c r="D29" s="3">
        <v>0</v>
      </c>
      <c r="E29" s="3">
        <f>B29+C29+D29</f>
        <v>9600</v>
      </c>
      <c r="F29" s="26"/>
      <c r="G29" s="26"/>
      <c r="H29" s="26"/>
      <c r="I29" s="26"/>
      <c r="J29" s="26"/>
      <c r="K29" s="26"/>
      <c r="L29" s="26"/>
      <c r="M29" s="26"/>
      <c r="N29" s="56"/>
      <c r="O29" s="43"/>
      <c r="P29" s="28"/>
      <c r="Q29" s="54"/>
      <c r="R29" s="26"/>
      <c r="S29" s="29"/>
    </row>
    <row r="30" spans="1:19" ht="36">
      <c r="A30" s="30" t="s">
        <v>4</v>
      </c>
      <c r="B30" s="3">
        <f>1600+3200+2400+1600</f>
        <v>8800</v>
      </c>
      <c r="C30" s="3">
        <v>0</v>
      </c>
      <c r="D30" s="3">
        <v>0</v>
      </c>
      <c r="E30" s="3">
        <f>B30+C30+D30</f>
        <v>8800</v>
      </c>
      <c r="F30" s="26"/>
      <c r="G30" s="26"/>
      <c r="H30" s="26"/>
      <c r="I30" s="26"/>
      <c r="J30" s="26"/>
      <c r="K30" s="26"/>
      <c r="L30" s="26"/>
      <c r="M30" s="26"/>
      <c r="N30" s="56"/>
      <c r="O30" s="43"/>
      <c r="P30" s="28"/>
      <c r="Q30" s="54"/>
      <c r="R30" s="26"/>
      <c r="S30" s="29"/>
    </row>
    <row r="31" spans="1:19" ht="36">
      <c r="A31" s="30" t="s">
        <v>3</v>
      </c>
      <c r="B31" s="3">
        <f>6400+3200+4800</f>
        <v>14400</v>
      </c>
      <c r="C31" s="3">
        <v>0</v>
      </c>
      <c r="D31" s="3">
        <v>0</v>
      </c>
      <c r="E31" s="3">
        <f>B31+C31+D31</f>
        <v>14400</v>
      </c>
      <c r="F31" s="26"/>
      <c r="G31" s="26"/>
      <c r="H31" s="26"/>
      <c r="I31" s="26"/>
      <c r="J31" s="26"/>
      <c r="K31" s="26"/>
      <c r="L31" s="26"/>
      <c r="M31" s="26"/>
      <c r="N31" s="56"/>
      <c r="O31" s="43"/>
      <c r="P31" s="28"/>
      <c r="Q31" s="54"/>
      <c r="R31" s="26"/>
      <c r="S31" s="29"/>
    </row>
    <row r="32" spans="1:19" ht="24">
      <c r="A32" s="30" t="s">
        <v>14</v>
      </c>
      <c r="B32" s="3">
        <v>0</v>
      </c>
      <c r="C32" s="3">
        <v>0</v>
      </c>
      <c r="D32" s="3">
        <v>0</v>
      </c>
      <c r="E32" s="3">
        <f>B32+C32+D32</f>
        <v>0</v>
      </c>
      <c r="F32" s="26"/>
      <c r="G32" s="26"/>
      <c r="H32" s="26"/>
      <c r="I32" s="26"/>
      <c r="J32" s="26"/>
      <c r="K32" s="26"/>
      <c r="L32" s="26"/>
      <c r="M32" s="26"/>
      <c r="N32" s="56"/>
      <c r="O32" s="43"/>
      <c r="P32" s="28"/>
      <c r="Q32" s="54"/>
      <c r="R32" s="26"/>
      <c r="S32" s="29"/>
    </row>
    <row r="33" spans="1:19" ht="12.75">
      <c r="A33" s="49" t="s">
        <v>1</v>
      </c>
      <c r="B33" s="55">
        <f>SUM(B16:B32)</f>
        <v>591463.0499999999</v>
      </c>
      <c r="C33" s="31">
        <f>SUM(C16:C32)</f>
        <v>177287.44999999995</v>
      </c>
      <c r="D33" s="31">
        <f>SUM(D16:D32)</f>
        <v>0</v>
      </c>
      <c r="E33" s="31">
        <f>SUM(E15:E32)</f>
        <v>547217.3888000002</v>
      </c>
      <c r="F33" s="31">
        <f>SUM(F16:F32)</f>
        <v>67034.39999999998</v>
      </c>
      <c r="G33" s="31">
        <f>SUM(G16:G32)</f>
        <v>77089.55999999998</v>
      </c>
      <c r="H33" s="31">
        <f>SUM(H16:H32)</f>
        <v>107255.04</v>
      </c>
      <c r="I33" s="31">
        <f>SUM(I16:I32)</f>
        <v>22300</v>
      </c>
      <c r="J33" s="31">
        <f>SUM(J16:J32)</f>
        <v>72327.60000000002</v>
      </c>
      <c r="K33" s="31"/>
      <c r="L33" s="31"/>
      <c r="M33" s="31">
        <f aca="true" t="shared" si="9" ref="M33:S33">SUM(M16:M32)</f>
        <v>100551.60000000002</v>
      </c>
      <c r="N33" s="55">
        <f t="shared" si="9"/>
        <v>36976.05</v>
      </c>
      <c r="O33" s="31">
        <f t="shared" si="9"/>
        <v>495588.85</v>
      </c>
      <c r="P33" s="55">
        <f t="shared" si="9"/>
        <v>142165</v>
      </c>
      <c r="Q33" s="55">
        <f t="shared" si="9"/>
        <v>103037</v>
      </c>
      <c r="R33" s="55">
        <f t="shared" si="9"/>
        <v>100551.60000000002</v>
      </c>
      <c r="S33" s="32">
        <f t="shared" si="9"/>
        <v>841342.4500000001</v>
      </c>
    </row>
    <row r="34" spans="1:19" ht="12.75">
      <c r="A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4" t="s">
        <v>71</v>
      </c>
      <c r="R34" s="153">
        <f>E33-S33</f>
        <v>-294125.0611999999</v>
      </c>
      <c r="S34" s="153"/>
    </row>
    <row r="35" spans="1:19" ht="12.75">
      <c r="A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19" ht="12.75">
      <c r="A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2:6" ht="12.75">
      <c r="B37" s="41" t="s">
        <v>5</v>
      </c>
      <c r="C37" s="57">
        <v>22100</v>
      </c>
      <c r="D37" s="41" t="s">
        <v>72</v>
      </c>
      <c r="E37" s="41"/>
      <c r="F37" s="41"/>
    </row>
    <row r="38" spans="2:6" ht="12.75">
      <c r="B38" s="41"/>
      <c r="C38" s="57">
        <v>300</v>
      </c>
      <c r="D38" s="41" t="s">
        <v>73</v>
      </c>
      <c r="E38" s="41"/>
      <c r="F38" s="41"/>
    </row>
    <row r="39" spans="3:16" ht="12.75">
      <c r="C39" s="58">
        <v>450</v>
      </c>
      <c r="D39" s="48" t="s">
        <v>74</v>
      </c>
      <c r="E39" s="41"/>
      <c r="F39" s="41"/>
      <c r="P39" s="59"/>
    </row>
    <row r="40" spans="2:5" ht="12.75">
      <c r="B40" s="48" t="s">
        <v>6</v>
      </c>
      <c r="C40" s="58">
        <v>800</v>
      </c>
      <c r="D40" s="48" t="s">
        <v>15</v>
      </c>
      <c r="E40" s="48"/>
    </row>
    <row r="41" spans="2:5" ht="12.75">
      <c r="B41" s="48"/>
      <c r="C41" s="58">
        <v>491</v>
      </c>
      <c r="D41" s="48" t="s">
        <v>17</v>
      </c>
      <c r="E41" s="48"/>
    </row>
    <row r="42" spans="2:5" ht="12.75">
      <c r="B42" s="48" t="s">
        <v>6</v>
      </c>
      <c r="C42" s="58">
        <v>3173</v>
      </c>
      <c r="D42" s="48" t="s">
        <v>75</v>
      </c>
      <c r="E42" s="48"/>
    </row>
    <row r="43" spans="2:5" ht="12.75">
      <c r="B43" s="48" t="s">
        <v>9</v>
      </c>
      <c r="C43" s="58">
        <v>3173</v>
      </c>
      <c r="D43" s="48" t="s">
        <v>76</v>
      </c>
      <c r="E43" s="48"/>
    </row>
    <row r="44" spans="2:5" ht="12.75">
      <c r="B44" s="48" t="s">
        <v>9</v>
      </c>
      <c r="C44" s="58">
        <v>443</v>
      </c>
      <c r="D44" s="48" t="s">
        <v>77</v>
      </c>
      <c r="E44" s="48"/>
    </row>
    <row r="45" spans="2:5" ht="12.75">
      <c r="B45" s="48"/>
      <c r="C45" s="58">
        <v>5794</v>
      </c>
      <c r="D45" s="48" t="s">
        <v>78</v>
      </c>
      <c r="E45" s="48"/>
    </row>
    <row r="46" spans="2:5" ht="12.75">
      <c r="B46" s="48" t="s">
        <v>13</v>
      </c>
      <c r="C46" s="58">
        <v>252.05</v>
      </c>
      <c r="D46" s="48" t="s">
        <v>79</v>
      </c>
      <c r="E46" s="48"/>
    </row>
    <row r="47" spans="2:5" ht="12.75">
      <c r="B47" s="48"/>
      <c r="C47" s="58"/>
      <c r="D47" s="48"/>
      <c r="E47" s="48"/>
    </row>
    <row r="48" spans="1:19" ht="15">
      <c r="A48" s="112" t="s">
        <v>53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12.75">
      <c r="A49" s="113" t="s">
        <v>54</v>
      </c>
      <c r="B49" s="114"/>
      <c r="C49" s="117" t="s">
        <v>10</v>
      </c>
      <c r="D49" s="118"/>
      <c r="E49" s="118"/>
      <c r="F49" s="118"/>
      <c r="G49" s="118"/>
      <c r="H49" s="118"/>
      <c r="I49" s="118"/>
      <c r="J49" s="118"/>
      <c r="K49" s="119"/>
      <c r="L49" s="123" t="s">
        <v>55</v>
      </c>
      <c r="M49" s="124"/>
      <c r="N49" s="125"/>
      <c r="O49" s="129" t="s">
        <v>56</v>
      </c>
      <c r="P49" s="129"/>
      <c r="Q49" s="113" t="s">
        <v>57</v>
      </c>
      <c r="R49" s="114"/>
      <c r="S49" s="129" t="s">
        <v>58</v>
      </c>
    </row>
    <row r="50" spans="1:19" ht="12.75">
      <c r="A50" s="115"/>
      <c r="B50" s="116"/>
      <c r="C50" s="120"/>
      <c r="D50" s="121"/>
      <c r="E50" s="121"/>
      <c r="F50" s="121"/>
      <c r="G50" s="121"/>
      <c r="H50" s="121"/>
      <c r="I50" s="121"/>
      <c r="J50" s="121"/>
      <c r="K50" s="122"/>
      <c r="L50" s="126"/>
      <c r="M50" s="127"/>
      <c r="N50" s="128"/>
      <c r="O50" s="130"/>
      <c r="P50" s="130"/>
      <c r="Q50" s="115"/>
      <c r="R50" s="116"/>
      <c r="S50" s="130"/>
    </row>
    <row r="51" spans="1:19" ht="12.75">
      <c r="A51" s="131"/>
      <c r="B51" s="132"/>
      <c r="C51" s="133" t="s">
        <v>59</v>
      </c>
      <c r="D51" s="134"/>
      <c r="E51" s="134"/>
      <c r="F51" s="134"/>
      <c r="G51" s="134"/>
      <c r="H51" s="134"/>
      <c r="I51" s="134"/>
      <c r="J51" s="134"/>
      <c r="K51" s="135"/>
      <c r="L51" s="136"/>
      <c r="M51" s="137"/>
      <c r="N51" s="138"/>
      <c r="O51" s="4"/>
      <c r="P51" s="4"/>
      <c r="Q51" s="139"/>
      <c r="R51" s="140"/>
      <c r="S51" s="4"/>
    </row>
    <row r="52" spans="1:19" ht="12.75">
      <c r="A52" s="131"/>
      <c r="B52" s="132"/>
      <c r="C52" s="133" t="s">
        <v>60</v>
      </c>
      <c r="D52" s="134"/>
      <c r="E52" s="134"/>
      <c r="F52" s="134"/>
      <c r="G52" s="134"/>
      <c r="H52" s="134"/>
      <c r="I52" s="134"/>
      <c r="J52" s="134"/>
      <c r="K52" s="135"/>
      <c r="L52" s="141" t="s">
        <v>61</v>
      </c>
      <c r="M52" s="142"/>
      <c r="N52" s="143"/>
      <c r="O52" s="33">
        <v>0.05</v>
      </c>
      <c r="P52" s="34"/>
      <c r="Q52" s="69">
        <f>SUM(O52*2002.5*12)</f>
        <v>1201.5</v>
      </c>
      <c r="R52" s="61"/>
      <c r="S52" s="33"/>
    </row>
    <row r="53" spans="1:19" ht="12.75">
      <c r="A53" s="131"/>
      <c r="B53" s="132"/>
      <c r="C53" s="133" t="s">
        <v>62</v>
      </c>
      <c r="D53" s="134"/>
      <c r="E53" s="134"/>
      <c r="F53" s="134"/>
      <c r="G53" s="134"/>
      <c r="H53" s="134"/>
      <c r="I53" s="134"/>
      <c r="J53" s="134"/>
      <c r="K53" s="135"/>
      <c r="L53" s="141" t="s">
        <v>61</v>
      </c>
      <c r="M53" s="142"/>
      <c r="N53" s="143"/>
      <c r="O53" s="33">
        <v>0.05</v>
      </c>
      <c r="P53" s="34"/>
      <c r="Q53" s="69">
        <f aca="true" t="shared" si="10" ref="Q53:Q58">SUM(O53*2002.5*12)</f>
        <v>1201.5</v>
      </c>
      <c r="R53" s="61"/>
      <c r="S53" s="33"/>
    </row>
    <row r="54" spans="1:19" ht="12.75">
      <c r="A54" s="131"/>
      <c r="B54" s="132"/>
      <c r="C54" s="133" t="s">
        <v>63</v>
      </c>
      <c r="D54" s="134"/>
      <c r="E54" s="134"/>
      <c r="F54" s="134"/>
      <c r="G54" s="134"/>
      <c r="H54" s="134"/>
      <c r="I54" s="134"/>
      <c r="J54" s="134"/>
      <c r="K54" s="135"/>
      <c r="L54" s="141" t="s">
        <v>64</v>
      </c>
      <c r="M54" s="142"/>
      <c r="N54" s="143"/>
      <c r="O54" s="33">
        <v>0.15</v>
      </c>
      <c r="P54" s="34"/>
      <c r="Q54" s="69">
        <f t="shared" si="10"/>
        <v>3604.5</v>
      </c>
      <c r="R54" s="61"/>
      <c r="S54" s="33"/>
    </row>
    <row r="55" spans="1:19" ht="12.75">
      <c r="A55" s="69"/>
      <c r="B55" s="61"/>
      <c r="C55" s="144" t="s">
        <v>65</v>
      </c>
      <c r="D55" s="145"/>
      <c r="E55" s="145"/>
      <c r="F55" s="145"/>
      <c r="G55" s="145"/>
      <c r="H55" s="145"/>
      <c r="I55" s="145"/>
      <c r="J55" s="145"/>
      <c r="K55" s="146"/>
      <c r="L55" s="141" t="s">
        <v>61</v>
      </c>
      <c r="M55" s="142"/>
      <c r="N55" s="143"/>
      <c r="O55" s="1">
        <v>0.15</v>
      </c>
      <c r="P55" s="1"/>
      <c r="Q55" s="69">
        <f t="shared" si="10"/>
        <v>3604.5</v>
      </c>
      <c r="R55" s="61"/>
      <c r="S55" s="1"/>
    </row>
    <row r="56" spans="1:19" ht="12.75">
      <c r="A56" s="69"/>
      <c r="B56" s="61"/>
      <c r="C56" s="147" t="s">
        <v>66</v>
      </c>
      <c r="D56" s="148"/>
      <c r="E56" s="148"/>
      <c r="F56" s="148"/>
      <c r="G56" s="148"/>
      <c r="H56" s="148"/>
      <c r="I56" s="148"/>
      <c r="J56" s="148"/>
      <c r="K56" s="149"/>
      <c r="L56" s="150" t="s">
        <v>67</v>
      </c>
      <c r="M56" s="151"/>
      <c r="N56" s="152"/>
      <c r="O56" s="1">
        <v>0.25</v>
      </c>
      <c r="P56" s="1"/>
      <c r="Q56" s="69">
        <f t="shared" si="10"/>
        <v>6007.5</v>
      </c>
      <c r="R56" s="61"/>
      <c r="S56" s="1"/>
    </row>
    <row r="57" spans="1:19" ht="12.75">
      <c r="A57" s="69"/>
      <c r="B57" s="61"/>
      <c r="C57" s="147" t="s">
        <v>68</v>
      </c>
      <c r="D57" s="148"/>
      <c r="E57" s="148"/>
      <c r="F57" s="148"/>
      <c r="G57" s="148"/>
      <c r="H57" s="148"/>
      <c r="I57" s="148"/>
      <c r="J57" s="148"/>
      <c r="K57" s="149"/>
      <c r="L57" s="150" t="s">
        <v>67</v>
      </c>
      <c r="M57" s="151"/>
      <c r="N57" s="152"/>
      <c r="O57" s="1">
        <v>0.1</v>
      </c>
      <c r="P57" s="35"/>
      <c r="Q57" s="69">
        <f t="shared" si="10"/>
        <v>2403</v>
      </c>
      <c r="R57" s="61"/>
      <c r="S57" s="1"/>
    </row>
    <row r="58" spans="1:19" ht="12.75">
      <c r="A58" s="69"/>
      <c r="B58" s="61"/>
      <c r="C58" s="144" t="s">
        <v>69</v>
      </c>
      <c r="D58" s="145"/>
      <c r="E58" s="145"/>
      <c r="F58" s="145"/>
      <c r="G58" s="145"/>
      <c r="H58" s="145"/>
      <c r="I58" s="145"/>
      <c r="J58" s="145"/>
      <c r="K58" s="146"/>
      <c r="L58" s="150" t="s">
        <v>67</v>
      </c>
      <c r="M58" s="151"/>
      <c r="N58" s="152"/>
      <c r="O58" s="1">
        <v>0.25</v>
      </c>
      <c r="P58" s="1"/>
      <c r="Q58" s="69">
        <f t="shared" si="10"/>
        <v>6007.5</v>
      </c>
      <c r="R58" s="61"/>
      <c r="S58" s="1"/>
    </row>
    <row r="59" spans="5:19" ht="12.75">
      <c r="E59" s="36" t="s">
        <v>16</v>
      </c>
      <c r="F59" s="37"/>
      <c r="G59" s="37"/>
      <c r="H59" s="37"/>
      <c r="I59" s="37"/>
      <c r="J59" s="37"/>
      <c r="K59" s="37"/>
      <c r="L59" s="37"/>
      <c r="M59" s="37"/>
      <c r="N59" s="37"/>
      <c r="O59" s="38">
        <f>SUM(O52:O58)</f>
        <v>1</v>
      </c>
      <c r="P59" s="39"/>
      <c r="Q59" s="69">
        <f>SUM(Q52:Q58)</f>
        <v>24030</v>
      </c>
      <c r="R59" s="61"/>
      <c r="S59" s="1"/>
    </row>
  </sheetData>
  <sheetProtection/>
  <mergeCells count="73">
    <mergeCell ref="R34:S34"/>
    <mergeCell ref="Q59:R59"/>
    <mergeCell ref="A57:B57"/>
    <mergeCell ref="C57:K57"/>
    <mergeCell ref="L57:N57"/>
    <mergeCell ref="Q57:R57"/>
    <mergeCell ref="A58:B58"/>
    <mergeCell ref="C58:K58"/>
    <mergeCell ref="L58:N58"/>
    <mergeCell ref="Q58:R58"/>
    <mergeCell ref="A55:B55"/>
    <mergeCell ref="C55:K55"/>
    <mergeCell ref="L55:N55"/>
    <mergeCell ref="Q55:R55"/>
    <mergeCell ref="A56:B56"/>
    <mergeCell ref="C56:K56"/>
    <mergeCell ref="L56:N56"/>
    <mergeCell ref="Q56:R56"/>
    <mergeCell ref="A53:B53"/>
    <mergeCell ref="C53:K53"/>
    <mergeCell ref="L53:N53"/>
    <mergeCell ref="Q53:R53"/>
    <mergeCell ref="A54:B54"/>
    <mergeCell ref="C54:K54"/>
    <mergeCell ref="L54:N54"/>
    <mergeCell ref="Q54:R54"/>
    <mergeCell ref="S49:S50"/>
    <mergeCell ref="A51:B51"/>
    <mergeCell ref="C51:K51"/>
    <mergeCell ref="L51:N51"/>
    <mergeCell ref="Q51:R51"/>
    <mergeCell ref="A52:B52"/>
    <mergeCell ref="C52:K52"/>
    <mergeCell ref="L52:N52"/>
    <mergeCell ref="Q52:R52"/>
    <mergeCell ref="A14:E14"/>
    <mergeCell ref="F14:S14"/>
    <mergeCell ref="A15:D15"/>
    <mergeCell ref="A48:S48"/>
    <mergeCell ref="A49:B50"/>
    <mergeCell ref="C49:K50"/>
    <mergeCell ref="L49:N50"/>
    <mergeCell ref="O49:O50"/>
    <mergeCell ref="P49:P50"/>
    <mergeCell ref="Q49:R50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</mergeCells>
  <printOptions/>
  <pageMargins left="0.09375" right="0.010416666666666666" top="0.14583333333333334" bottom="0.20833333333333334" header="0.3" footer="0.3"/>
  <pageSetup orientation="landscape" paperSize="9" r:id="rId3"/>
  <ignoredErrors>
    <ignoredError sqref="B17:C1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2017-02-06T06:41:03Z</cp:lastPrinted>
  <dcterms:created xsi:type="dcterms:W3CDTF">2007-02-04T12:22:59Z</dcterms:created>
  <dcterms:modified xsi:type="dcterms:W3CDTF">2017-02-06T09:53:19Z</dcterms:modified>
  <cp:category/>
  <cp:version/>
  <cp:contentType/>
  <cp:contentStatus/>
</cp:coreProperties>
</file>