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16" sheetId="1" r:id="rId1"/>
  </sheets>
  <definedNames>
    <definedName name="_xlnm.Print_Area" localSheetId="0">'2016'!$A$4:$S$33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P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перенесено на июнь с мая</t>
        </r>
      </text>
    </comment>
    <comment ref="N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1879р-покос</t>
        </r>
      </text>
    </comment>
    <comment ref="N23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1879р-покос</t>
        </r>
      </text>
    </comment>
    <comment ref="N25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3772,07р-тех.обслуживание ОДГО</t>
        </r>
      </text>
    </comment>
  </commentList>
</comments>
</file>

<file path=xl/sharedStrings.xml><?xml version="1.0" encoding="utf-8"?>
<sst xmlns="http://schemas.openxmlformats.org/spreadsheetml/2006/main" count="77" uniqueCount="68">
  <si>
    <t>Содержание</t>
  </si>
  <si>
    <t>июль</t>
  </si>
  <si>
    <t>итого</t>
  </si>
  <si>
    <t>август</t>
  </si>
  <si>
    <t>ремонт</t>
  </si>
  <si>
    <t>май</t>
  </si>
  <si>
    <t>июнь</t>
  </si>
  <si>
    <t>Наименование работ</t>
  </si>
  <si>
    <t>ИТОГО</t>
  </si>
  <si>
    <t>октябрь</t>
  </si>
  <si>
    <t>март</t>
  </si>
  <si>
    <t>ИТОГО:</t>
  </si>
  <si>
    <t>Итого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</si>
  <si>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</si>
  <si>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</si>
  <si>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</si>
  <si>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</si>
  <si>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</si>
  <si>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</si>
  <si>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</si>
  <si>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</si>
  <si>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</si>
  <si>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</si>
  <si>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</si>
  <si>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</si>
  <si>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</si>
  <si>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</si>
  <si>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</si>
  <si>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family val="0"/>
      </rPr>
      <t>СОДЕРЖАНИ</t>
    </r>
    <r>
      <rPr>
        <sz val="8"/>
        <rFont val="Arial Cyr"/>
        <family val="0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</si>
  <si>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</si>
  <si>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</si>
  <si>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</si>
  <si>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</si>
  <si>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</si>
  <si>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</si>
  <si>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</si>
  <si>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</si>
  <si>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</si>
  <si>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</si>
  <si>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</si>
  <si>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</si>
  <si>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</si>
  <si>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</si>
  <si>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</si>
  <si>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</si>
  <si>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</si>
  <si>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</si>
  <si>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</si>
  <si>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</si>
  <si>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</si>
  <si>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</si>
  <si>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</si>
  <si>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</si>
  <si>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</si>
  <si>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</si>
  <si>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</si>
  <si>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</si>
  <si>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</si>
  <si>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</si>
  <si>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</si>
  <si>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</si>
  <si>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</si>
  <si>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</si>
  <si>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</si>
  <si>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</si>
  <si>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Информация о доходах и расходах по дому __Калинина 131А__на 2016год.</t>
  </si>
  <si>
    <t>покос</t>
  </si>
  <si>
    <t>тех.обслуживание ОДГО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</si>
</sst>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00"/>
    <numFmt numFmtId="166" formatCode="#,##0.000_р_."/>
    <numFmt numFmtId="167" formatCode="0.0000"/>
    <numFmt numFmtId="168" formatCode="#,##0.0_р_."/>
    <numFmt numFmtId="169" formatCode="#,##0_р_.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_р_."/>
    <numFmt numFmtId="176" formatCode="#,##0&quot;р.&quot;"/>
  </numFmts>
  <fonts count="51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4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1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5" fillId="33" borderId="11" xfId="0" applyNumberFormat="1" applyFont="1" applyFill="1" applyBorder="1" applyAlignment="1">
      <alignment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0" fontId="9" fillId="33" borderId="10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 horizontal="left" wrapText="1"/>
    </xf>
    <xf numFmtId="0" fontId="48" fillId="0" borderId="13" xfId="0" applyFont="1" applyBorder="1" applyAlignment="1">
      <alignment horizontal="left"/>
    </xf>
    <xf numFmtId="2" fontId="5" fillId="0" borderId="13" xfId="0" applyNumberFormat="1" applyFont="1" applyBorder="1" applyAlignment="1">
      <alignment horizontal="left" wrapText="1"/>
    </xf>
    <xf numFmtId="0" fontId="9" fillId="33" borderId="10" xfId="0" applyNumberFormat="1" applyFont="1" applyFill="1" applyBorder="1" applyAlignment="1">
      <alignment wrapText="1"/>
    </xf>
    <xf numFmtId="2" fontId="6" fillId="0" borderId="13" xfId="0" applyNumberFormat="1" applyFont="1" applyBorder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4" fontId="6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17" fontId="6" fillId="3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/>
    </xf>
    <xf numFmtId="164" fontId="1" fillId="13" borderId="10" xfId="0" applyNumberFormat="1" applyFont="1" applyFill="1" applyBorder="1" applyAlignment="1">
      <alignment/>
    </xf>
    <xf numFmtId="164" fontId="1" fillId="13" borderId="13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17" fontId="6" fillId="12" borderId="10" xfId="0" applyNumberFormat="1" applyFont="1" applyFill="1" applyBorder="1" applyAlignment="1">
      <alignment horizontal="left" wrapText="1"/>
    </xf>
    <xf numFmtId="0" fontId="6" fillId="35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2" fontId="0" fillId="0" borderId="17" xfId="0" applyNumberFormat="1" applyBorder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7" xfId="0" applyNumberFormat="1" applyBorder="1" applyAlignment="1">
      <alignment/>
    </xf>
    <xf numFmtId="0" fontId="6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1" fillId="0" borderId="13" xfId="0" applyFont="1" applyBorder="1" applyAlignment="1">
      <alignment horizontal="left"/>
    </xf>
    <xf numFmtId="164" fontId="1" fillId="9" borderId="10" xfId="0" applyNumberFormat="1" applyFont="1" applyFill="1" applyBorder="1" applyAlignment="1">
      <alignment/>
    </xf>
    <xf numFmtId="2" fontId="1" fillId="0" borderId="13" xfId="0" applyNumberFormat="1" applyFont="1" applyFill="1" applyBorder="1" applyAlignment="1">
      <alignment horizontal="right" vertical="top" wrapText="1"/>
    </xf>
    <xf numFmtId="2" fontId="5" fillId="0" borderId="13" xfId="0" applyNumberFormat="1" applyFont="1" applyFill="1" applyBorder="1" applyAlignment="1">
      <alignment horizontal="right" vertical="top" wrapText="1"/>
    </xf>
    <xf numFmtId="2" fontId="5" fillId="0" borderId="10" xfId="0" applyNumberFormat="1" applyFont="1" applyFill="1" applyBorder="1" applyAlignment="1">
      <alignment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164" fontId="10" fillId="7" borderId="10" xfId="0" applyNumberFormat="1" applyFont="1" applyFill="1" applyBorder="1" applyAlignment="1">
      <alignment/>
    </xf>
    <xf numFmtId="164" fontId="10" fillId="35" borderId="10" xfId="0" applyNumberFormat="1" applyFont="1" applyFill="1" applyBorder="1" applyAlignment="1">
      <alignment/>
    </xf>
    <xf numFmtId="176" fontId="1" fillId="0" borderId="0" xfId="0" applyNumberFormat="1" applyFont="1" applyFill="1" applyBorder="1" applyAlignment="1">
      <alignment/>
    </xf>
    <xf numFmtId="176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32" borderId="10" xfId="0" applyFill="1" applyBorder="1" applyAlignment="1">
      <alignment horizontal="center"/>
    </xf>
    <xf numFmtId="164" fontId="8" fillId="0" borderId="18" xfId="0" applyNumberFormat="1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7" xfId="0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2" borderId="14" xfId="0" applyFill="1" applyBorder="1" applyAlignment="1">
      <alignment horizontal="left" wrapText="1"/>
    </xf>
    <xf numFmtId="0" fontId="0" fillId="32" borderId="15" xfId="0" applyFill="1" applyBorder="1" applyAlignment="1">
      <alignment horizontal="left" wrapText="1"/>
    </xf>
    <xf numFmtId="0" fontId="0" fillId="32" borderId="17" xfId="0" applyFill="1" applyBorder="1" applyAlignment="1">
      <alignment horizontal="left" wrapText="1"/>
    </xf>
    <xf numFmtId="0" fontId="0" fillId="32" borderId="14" xfId="0" applyFill="1" applyBorder="1" applyAlignment="1">
      <alignment horizontal="center" wrapText="1"/>
    </xf>
    <xf numFmtId="0" fontId="0" fillId="32" borderId="15" xfId="0" applyFill="1" applyBorder="1" applyAlignment="1">
      <alignment horizontal="center" wrapText="1"/>
    </xf>
    <xf numFmtId="0" fontId="0" fillId="32" borderId="17" xfId="0" applyFill="1" applyBorder="1" applyAlignment="1">
      <alignment horizontal="center" wrapText="1"/>
    </xf>
    <xf numFmtId="0" fontId="4" fillId="36" borderId="15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2" fontId="0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7" xfId="0" applyNumberFormat="1" applyFont="1" applyFill="1" applyBorder="1" applyAlignment="1">
      <alignment horizontal="center" vertical="top" wrapText="1"/>
    </xf>
    <xf numFmtId="0" fontId="0" fillId="36" borderId="15" xfId="0" applyFont="1" applyFill="1" applyBorder="1" applyAlignment="1">
      <alignment horizontal="center" wrapText="1"/>
    </xf>
    <xf numFmtId="0" fontId="0" fillId="36" borderId="17" xfId="0" applyFont="1" applyFill="1" applyBorder="1" applyAlignment="1">
      <alignment horizontal="center" wrapText="1"/>
    </xf>
    <xf numFmtId="0" fontId="39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textRotation="90" wrapText="1"/>
    </xf>
    <xf numFmtId="0" fontId="0" fillId="0" borderId="13" xfId="0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0" fillId="7" borderId="14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50" fillId="0" borderId="0" xfId="0" applyFont="1" applyAlignment="1">
      <alignment horizontal="center"/>
    </xf>
    <xf numFmtId="0" fontId="0" fillId="0" borderId="19" xfId="0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left" wrapText="1"/>
    </xf>
    <xf numFmtId="2" fontId="5" fillId="0" borderId="20" xfId="0" applyNumberFormat="1" applyFont="1" applyBorder="1" applyAlignment="1">
      <alignment horizontal="left" wrapText="1"/>
    </xf>
    <xf numFmtId="2" fontId="5" fillId="0" borderId="21" xfId="0" applyNumberFormat="1" applyFont="1" applyBorder="1" applyAlignment="1">
      <alignment horizontal="left" wrapText="1"/>
    </xf>
    <xf numFmtId="2" fontId="5" fillId="0" borderId="22" xfId="0" applyNumberFormat="1" applyFont="1" applyBorder="1" applyAlignment="1">
      <alignment horizontal="left" wrapText="1"/>
    </xf>
    <xf numFmtId="2" fontId="5" fillId="0" borderId="12" xfId="0" applyNumberFormat="1" applyFont="1" applyBorder="1" applyAlignment="1">
      <alignment horizontal="left" textRotation="90" wrapText="1"/>
    </xf>
    <xf numFmtId="2" fontId="5" fillId="0" borderId="23" xfId="0" applyNumberFormat="1" applyFont="1" applyBorder="1" applyAlignment="1">
      <alignment horizontal="left" textRotation="90" wrapText="1"/>
    </xf>
    <xf numFmtId="2" fontId="5" fillId="0" borderId="13" xfId="0" applyNumberFormat="1" applyFont="1" applyBorder="1" applyAlignment="1">
      <alignment horizontal="left" textRotation="90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23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4:S48"/>
  <sheetViews>
    <sheetView tabSelected="1" workbookViewId="0" topLeftCell="A7">
      <selection activeCell="H33" sqref="H33"/>
    </sheetView>
  </sheetViews>
  <sheetFormatPr defaultColWidth="9.00390625" defaultRowHeight="12.75"/>
  <cols>
    <col min="1" max="1" width="6.00390625" style="0" customWidth="1"/>
    <col min="2" max="2" width="9.875" style="0" customWidth="1"/>
    <col min="3" max="3" width="9.125" style="0" customWidth="1"/>
    <col min="4" max="4" width="5.375" style="0" customWidth="1"/>
    <col min="5" max="5" width="9.75390625" style="0" customWidth="1"/>
    <col min="9" max="9" width="8.25390625" style="0" customWidth="1"/>
    <col min="11" max="12" width="9.125" style="0" hidden="1" customWidth="1"/>
    <col min="14" max="14" width="8.125" style="0" customWidth="1"/>
    <col min="15" max="15" width="10.00390625" style="0" customWidth="1"/>
    <col min="17" max="17" width="8.125" style="0" customWidth="1"/>
  </cols>
  <sheetData>
    <row r="2" ht="10.5" customHeight="1"/>
    <row r="3" ht="12.75" hidden="1"/>
    <row r="4" spans="1:19" ht="15.75">
      <c r="A4" s="131" t="s">
        <v>65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</row>
    <row r="5" spans="1:19" ht="12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</row>
    <row r="6" spans="1:19" ht="12.75">
      <c r="A6" s="132"/>
      <c r="B6" s="67"/>
      <c r="C6" s="67"/>
      <c r="D6" s="67"/>
      <c r="E6" s="63"/>
      <c r="F6" s="61" t="s">
        <v>13</v>
      </c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4"/>
    </row>
    <row r="7" spans="1:19" ht="12.75">
      <c r="A7" s="9"/>
      <c r="B7" s="133" t="s">
        <v>14</v>
      </c>
      <c r="C7" s="133"/>
      <c r="D7" s="133"/>
      <c r="E7" s="133"/>
      <c r="F7" s="134" t="s">
        <v>0</v>
      </c>
      <c r="G7" s="135"/>
      <c r="H7" s="135"/>
      <c r="I7" s="135"/>
      <c r="J7" s="135"/>
      <c r="K7" s="135"/>
      <c r="L7" s="135"/>
      <c r="M7" s="135"/>
      <c r="N7" s="135"/>
      <c r="O7" s="136"/>
      <c r="P7" s="137" t="s">
        <v>15</v>
      </c>
      <c r="Q7" s="138"/>
      <c r="R7" s="141" t="s">
        <v>16</v>
      </c>
      <c r="S7" s="144" t="s">
        <v>8</v>
      </c>
    </row>
    <row r="8" spans="1:19" ht="12.75">
      <c r="A8" s="10"/>
      <c r="B8" s="126" t="s">
        <v>17</v>
      </c>
      <c r="C8" s="126" t="s">
        <v>4</v>
      </c>
      <c r="D8" s="126" t="s">
        <v>18</v>
      </c>
      <c r="E8" s="128" t="s">
        <v>2</v>
      </c>
      <c r="F8" s="124" t="s">
        <v>19</v>
      </c>
      <c r="G8" s="124" t="s">
        <v>20</v>
      </c>
      <c r="H8" s="124" t="s">
        <v>21</v>
      </c>
      <c r="I8" s="124" t="s">
        <v>22</v>
      </c>
      <c r="J8" s="124" t="s">
        <v>23</v>
      </c>
      <c r="K8" s="124" t="s">
        <v>24</v>
      </c>
      <c r="L8" s="124" t="s">
        <v>25</v>
      </c>
      <c r="M8" s="124" t="s">
        <v>26</v>
      </c>
      <c r="N8" s="124" t="s">
        <v>27</v>
      </c>
      <c r="O8" s="111" t="s">
        <v>28</v>
      </c>
      <c r="P8" s="139"/>
      <c r="Q8" s="140"/>
      <c r="R8" s="142"/>
      <c r="S8" s="145"/>
    </row>
    <row r="9" spans="1:19" ht="84">
      <c r="A9" s="12"/>
      <c r="B9" s="127"/>
      <c r="C9" s="127"/>
      <c r="D9" s="127"/>
      <c r="E9" s="129"/>
      <c r="F9" s="130"/>
      <c r="G9" s="125"/>
      <c r="H9" s="125"/>
      <c r="I9" s="125"/>
      <c r="J9" s="125"/>
      <c r="K9" s="125"/>
      <c r="L9" s="125"/>
      <c r="M9" s="125"/>
      <c r="N9" s="125"/>
      <c r="O9" s="112"/>
      <c r="P9" s="11" t="s">
        <v>29</v>
      </c>
      <c r="Q9" s="11" t="s">
        <v>30</v>
      </c>
      <c r="R9" s="143"/>
      <c r="S9" s="146"/>
    </row>
    <row r="10" spans="1:19" ht="14.25">
      <c r="A10" s="16">
        <v>2015</v>
      </c>
      <c r="B10" s="13">
        <v>7</v>
      </c>
      <c r="C10" s="13">
        <v>3</v>
      </c>
      <c r="D10" s="13">
        <v>1</v>
      </c>
      <c r="E10" s="14">
        <f>B10+C10+D10</f>
        <v>11</v>
      </c>
      <c r="F10" s="50">
        <v>0.93</v>
      </c>
      <c r="G10" s="17">
        <v>1.85</v>
      </c>
      <c r="H10" s="17">
        <v>1.38</v>
      </c>
      <c r="I10" s="17">
        <v>0.26</v>
      </c>
      <c r="J10" s="17">
        <v>2.11</v>
      </c>
      <c r="K10" s="17">
        <v>0</v>
      </c>
      <c r="L10" s="17">
        <v>0</v>
      </c>
      <c r="M10" s="17">
        <v>1.55</v>
      </c>
      <c r="N10" s="17">
        <v>0</v>
      </c>
      <c r="O10" s="18">
        <f>SUM(F10:N10)</f>
        <v>8.08</v>
      </c>
      <c r="P10" s="113">
        <v>1.42</v>
      </c>
      <c r="Q10" s="114"/>
      <c r="R10" s="19">
        <v>0.82</v>
      </c>
      <c r="S10" s="15">
        <f>O10+P10+R10</f>
        <v>10.32</v>
      </c>
    </row>
    <row r="11" spans="1:19" ht="14.25">
      <c r="A11" s="20">
        <v>2016</v>
      </c>
      <c r="B11" s="21">
        <v>10</v>
      </c>
      <c r="C11" s="21">
        <v>5</v>
      </c>
      <c r="D11" s="21">
        <v>1</v>
      </c>
      <c r="E11" s="23">
        <f>SUM(B11:D11)</f>
        <v>16</v>
      </c>
      <c r="F11" s="52">
        <v>0.94</v>
      </c>
      <c r="G11" s="52">
        <v>1.85</v>
      </c>
      <c r="H11" s="52">
        <v>1.6</v>
      </c>
      <c r="I11" s="52">
        <v>0.26</v>
      </c>
      <c r="J11" s="52">
        <v>1.95</v>
      </c>
      <c r="K11" s="52">
        <v>0</v>
      </c>
      <c r="L11" s="52">
        <v>0</v>
      </c>
      <c r="M11" s="52">
        <v>1.55</v>
      </c>
      <c r="N11" s="52">
        <v>1.85</v>
      </c>
      <c r="O11" s="53">
        <f>SUM(F11:N11)</f>
        <v>10</v>
      </c>
      <c r="P11" s="54">
        <v>2.5</v>
      </c>
      <c r="Q11" s="54">
        <v>2.5</v>
      </c>
      <c r="R11" s="55">
        <v>1</v>
      </c>
      <c r="S11" s="22">
        <f>O11+P11+Q11+R11</f>
        <v>16</v>
      </c>
    </row>
    <row r="12" spans="1:19" ht="24">
      <c r="A12" s="115" t="s">
        <v>31</v>
      </c>
      <c r="B12" s="115"/>
      <c r="C12" s="115"/>
      <c r="D12" s="115"/>
      <c r="E12" s="23">
        <v>2936.6</v>
      </c>
      <c r="F12" s="116" t="s">
        <v>32</v>
      </c>
      <c r="G12" s="117"/>
      <c r="H12" s="117"/>
      <c r="I12" s="117"/>
      <c r="J12" s="117"/>
      <c r="K12" s="117"/>
      <c r="L12" s="117"/>
      <c r="M12" s="117"/>
      <c r="N12" s="118"/>
      <c r="O12" s="22"/>
      <c r="P12" s="119" t="s">
        <v>33</v>
      </c>
      <c r="Q12" s="120"/>
      <c r="R12" s="22" t="s">
        <v>34</v>
      </c>
      <c r="S12" s="22"/>
    </row>
    <row r="13" spans="1:19" ht="12.75">
      <c r="A13" s="121" t="s">
        <v>35</v>
      </c>
      <c r="B13" s="122"/>
      <c r="C13" s="122"/>
      <c r="D13" s="122"/>
      <c r="E13" s="123"/>
      <c r="F13" s="24">
        <f>E12*F11</f>
        <v>2760.4039999999995</v>
      </c>
      <c r="G13" s="24">
        <f>E12*G11</f>
        <v>5432.71</v>
      </c>
      <c r="H13" s="24">
        <f>E12*H11</f>
        <v>4698.56</v>
      </c>
      <c r="I13" s="24">
        <f>E12*I11</f>
        <v>763.516</v>
      </c>
      <c r="J13" s="24">
        <f>E12*J11</f>
        <v>5726.37</v>
      </c>
      <c r="K13" s="24">
        <f aca="true" t="shared" si="0" ref="K13:S13">SUM(K11*2487)</f>
        <v>0</v>
      </c>
      <c r="L13" s="24">
        <f t="shared" si="0"/>
        <v>0</v>
      </c>
      <c r="M13" s="24">
        <f>E12*M11</f>
        <v>4551.73</v>
      </c>
      <c r="N13" s="24">
        <f>E12*N11</f>
        <v>5432.71</v>
      </c>
      <c r="O13" s="24">
        <f>SUM(F13:N13)</f>
        <v>29365.999999999996</v>
      </c>
      <c r="P13" s="24">
        <f t="shared" si="0"/>
        <v>6217.5</v>
      </c>
      <c r="Q13" s="24">
        <f t="shared" si="0"/>
        <v>6217.5</v>
      </c>
      <c r="R13" s="24">
        <f>E12*R11</f>
        <v>2936.6</v>
      </c>
      <c r="S13" s="24">
        <f t="shared" si="0"/>
        <v>39792</v>
      </c>
    </row>
    <row r="14" spans="1:19" ht="12.75">
      <c r="A14" s="95" t="s">
        <v>36</v>
      </c>
      <c r="B14" s="95"/>
      <c r="C14" s="95"/>
      <c r="D14" s="95"/>
      <c r="E14" s="96"/>
      <c r="F14" s="97" t="s">
        <v>37</v>
      </c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9"/>
    </row>
    <row r="15" spans="1:19" ht="12.75">
      <c r="A15" s="100" t="s">
        <v>38</v>
      </c>
      <c r="B15" s="100"/>
      <c r="C15" s="100"/>
      <c r="D15" s="101"/>
      <c r="E15" s="25">
        <v>-10766.49</v>
      </c>
      <c r="F15" s="26"/>
      <c r="G15" s="27"/>
      <c r="H15" s="28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9"/>
    </row>
    <row r="16" spans="1:19" ht="12.75">
      <c r="A16" s="30" t="s">
        <v>39</v>
      </c>
      <c r="B16" s="31">
        <f>12948.21+5084</f>
        <v>18032.21</v>
      </c>
      <c r="C16" s="31">
        <f>4656.3+2142.4</f>
        <v>6798.700000000001</v>
      </c>
      <c r="D16" s="31">
        <v>0</v>
      </c>
      <c r="E16" s="2">
        <f aca="true" t="shared" si="1" ref="E16:E27">B16+C16+D16</f>
        <v>24830.91</v>
      </c>
      <c r="F16" s="32">
        <f aca="true" t="shared" si="2" ref="F16:F27">2936.6*0.94</f>
        <v>2760.4039999999995</v>
      </c>
      <c r="G16" s="32">
        <f aca="true" t="shared" si="3" ref="G16:G27">2936.6*1.85</f>
        <v>5432.71</v>
      </c>
      <c r="H16" s="33">
        <f aca="true" t="shared" si="4" ref="H16:H27">2936.6*1.6</f>
        <v>4698.56</v>
      </c>
      <c r="I16" s="32">
        <v>1400</v>
      </c>
      <c r="J16" s="32">
        <f aca="true" t="shared" si="5" ref="J16:J27">2936.6*1.95</f>
        <v>5726.37</v>
      </c>
      <c r="K16" s="32">
        <v>0</v>
      </c>
      <c r="L16" s="32">
        <v>0</v>
      </c>
      <c r="M16" s="32">
        <f aca="true" t="shared" si="6" ref="M16:M27">2936.6*1.55</f>
        <v>4551.73</v>
      </c>
      <c r="N16" s="32">
        <v>0</v>
      </c>
      <c r="O16" s="51">
        <f aca="true" t="shared" si="7" ref="O16:O27">SUM(F16:N16)</f>
        <v>24569.773999999998</v>
      </c>
      <c r="P16" s="34">
        <v>0</v>
      </c>
      <c r="Q16" s="56">
        <v>0</v>
      </c>
      <c r="R16" s="32">
        <f aca="true" t="shared" si="8" ref="R16:R27">2936.6*1</f>
        <v>2936.6</v>
      </c>
      <c r="S16" s="35">
        <f aca="true" t="shared" si="9" ref="S16:S27">O16+P16+Q16+R16</f>
        <v>27506.373999999996</v>
      </c>
    </row>
    <row r="17" spans="1:19" ht="12.75">
      <c r="A17" s="30" t="s">
        <v>40</v>
      </c>
      <c r="B17" s="31">
        <f>12358.4+6494.87</f>
        <v>18853.27</v>
      </c>
      <c r="C17" s="31">
        <f>4789.5+2715.9</f>
        <v>7505.4</v>
      </c>
      <c r="D17" s="31">
        <v>0</v>
      </c>
      <c r="E17" s="31">
        <f t="shared" si="1"/>
        <v>26358.67</v>
      </c>
      <c r="F17" s="32">
        <f t="shared" si="2"/>
        <v>2760.4039999999995</v>
      </c>
      <c r="G17" s="32">
        <f t="shared" si="3"/>
        <v>5432.71</v>
      </c>
      <c r="H17" s="33">
        <f t="shared" si="4"/>
        <v>4698.56</v>
      </c>
      <c r="I17" s="32">
        <v>1400</v>
      </c>
      <c r="J17" s="32">
        <f t="shared" si="5"/>
        <v>5726.37</v>
      </c>
      <c r="K17" s="32">
        <v>0</v>
      </c>
      <c r="L17" s="32">
        <v>0</v>
      </c>
      <c r="M17" s="32">
        <f t="shared" si="6"/>
        <v>4551.73</v>
      </c>
      <c r="N17" s="32">
        <v>0</v>
      </c>
      <c r="O17" s="51">
        <f t="shared" si="7"/>
        <v>24569.773999999998</v>
      </c>
      <c r="P17" s="34">
        <v>0</v>
      </c>
      <c r="Q17" s="56">
        <v>0</v>
      </c>
      <c r="R17" s="32">
        <f t="shared" si="8"/>
        <v>2936.6</v>
      </c>
      <c r="S17" s="35">
        <f t="shared" si="9"/>
        <v>27506.373999999996</v>
      </c>
    </row>
    <row r="18" spans="1:19" ht="12.75">
      <c r="A18" s="30" t="s">
        <v>10</v>
      </c>
      <c r="B18" s="31">
        <f>12636.95+7058.4</f>
        <v>19695.35</v>
      </c>
      <c r="C18" s="31">
        <f>4649.7+2982</f>
        <v>7631.7</v>
      </c>
      <c r="D18" s="31">
        <v>0</v>
      </c>
      <c r="E18" s="31">
        <f t="shared" si="1"/>
        <v>27327.05</v>
      </c>
      <c r="F18" s="32">
        <f t="shared" si="2"/>
        <v>2760.4039999999995</v>
      </c>
      <c r="G18" s="32">
        <f t="shared" si="3"/>
        <v>5432.71</v>
      </c>
      <c r="H18" s="33">
        <f t="shared" si="4"/>
        <v>4698.56</v>
      </c>
      <c r="I18" s="32">
        <v>1400</v>
      </c>
      <c r="J18" s="32">
        <f t="shared" si="5"/>
        <v>5726.37</v>
      </c>
      <c r="K18" s="32">
        <v>0</v>
      </c>
      <c r="L18" s="32">
        <v>0</v>
      </c>
      <c r="M18" s="32">
        <f t="shared" si="6"/>
        <v>4551.73</v>
      </c>
      <c r="N18" s="32">
        <v>0</v>
      </c>
      <c r="O18" s="51">
        <f t="shared" si="7"/>
        <v>24569.773999999998</v>
      </c>
      <c r="P18" s="34">
        <f>1277+3178+1605</f>
        <v>6060</v>
      </c>
      <c r="Q18" s="56">
        <v>0</v>
      </c>
      <c r="R18" s="32">
        <f t="shared" si="8"/>
        <v>2936.6</v>
      </c>
      <c r="S18" s="35">
        <f t="shared" si="9"/>
        <v>33566.373999999996</v>
      </c>
    </row>
    <row r="19" spans="1:19" ht="12.75">
      <c r="A19" s="30" t="s">
        <v>41</v>
      </c>
      <c r="B19" s="31">
        <f>15134.4+5186.4</f>
        <v>20320.8</v>
      </c>
      <c r="C19" s="31">
        <f>5675.4+2280</f>
        <v>7955.4</v>
      </c>
      <c r="D19" s="31">
        <v>0</v>
      </c>
      <c r="E19" s="31">
        <f t="shared" si="1"/>
        <v>28276.199999999997</v>
      </c>
      <c r="F19" s="32">
        <f t="shared" si="2"/>
        <v>2760.4039999999995</v>
      </c>
      <c r="G19" s="32">
        <f t="shared" si="3"/>
        <v>5432.71</v>
      </c>
      <c r="H19" s="33">
        <f t="shared" si="4"/>
        <v>4698.56</v>
      </c>
      <c r="I19" s="32">
        <v>700</v>
      </c>
      <c r="J19" s="32">
        <f t="shared" si="5"/>
        <v>5726.37</v>
      </c>
      <c r="K19" s="32">
        <v>0</v>
      </c>
      <c r="L19" s="32">
        <v>0</v>
      </c>
      <c r="M19" s="32">
        <f t="shared" si="6"/>
        <v>4551.73</v>
      </c>
      <c r="N19" s="32">
        <v>0</v>
      </c>
      <c r="O19" s="51">
        <f t="shared" si="7"/>
        <v>23869.773999999998</v>
      </c>
      <c r="P19" s="34">
        <v>2555</v>
      </c>
      <c r="Q19" s="56">
        <v>0</v>
      </c>
      <c r="R19" s="32">
        <f t="shared" si="8"/>
        <v>2936.6</v>
      </c>
      <c r="S19" s="35">
        <f t="shared" si="9"/>
        <v>29361.373999999996</v>
      </c>
    </row>
    <row r="20" spans="1:19" ht="12.75">
      <c r="A20" s="30" t="s">
        <v>5</v>
      </c>
      <c r="B20" s="31">
        <f>13941.6+7440.8</f>
        <v>21382.4</v>
      </c>
      <c r="C20" s="31">
        <f>5228.1+3125.4</f>
        <v>8353.5</v>
      </c>
      <c r="D20" s="31">
        <v>0</v>
      </c>
      <c r="E20" s="31">
        <f t="shared" si="1"/>
        <v>29735.9</v>
      </c>
      <c r="F20" s="32">
        <f t="shared" si="2"/>
        <v>2760.4039999999995</v>
      </c>
      <c r="G20" s="32">
        <f t="shared" si="3"/>
        <v>5432.71</v>
      </c>
      <c r="H20" s="33">
        <f t="shared" si="4"/>
        <v>4698.56</v>
      </c>
      <c r="I20" s="32">
        <v>0</v>
      </c>
      <c r="J20" s="32">
        <f t="shared" si="5"/>
        <v>5726.37</v>
      </c>
      <c r="K20" s="32"/>
      <c r="L20" s="32"/>
      <c r="M20" s="32">
        <f t="shared" si="6"/>
        <v>4551.73</v>
      </c>
      <c r="N20" s="32">
        <v>1879</v>
      </c>
      <c r="O20" s="51">
        <f t="shared" si="7"/>
        <v>25048.773999999998</v>
      </c>
      <c r="P20" s="34">
        <v>0</v>
      </c>
      <c r="Q20" s="56">
        <v>0</v>
      </c>
      <c r="R20" s="32">
        <f t="shared" si="8"/>
        <v>2936.6</v>
      </c>
      <c r="S20" s="35">
        <f t="shared" si="9"/>
        <v>27985.373999999996</v>
      </c>
    </row>
    <row r="21" spans="1:19" ht="12.75">
      <c r="A21" s="30" t="s">
        <v>6</v>
      </c>
      <c r="B21" s="31">
        <f>15581.4+6008.8</f>
        <v>21590.2</v>
      </c>
      <c r="C21" s="31">
        <f>5952.4+2588.4</f>
        <v>8540.8</v>
      </c>
      <c r="D21" s="31">
        <v>0</v>
      </c>
      <c r="E21" s="31">
        <f t="shared" si="1"/>
        <v>30131</v>
      </c>
      <c r="F21" s="32">
        <f t="shared" si="2"/>
        <v>2760.4039999999995</v>
      </c>
      <c r="G21" s="32">
        <f t="shared" si="3"/>
        <v>5432.71</v>
      </c>
      <c r="H21" s="33">
        <f t="shared" si="4"/>
        <v>4698.56</v>
      </c>
      <c r="I21" s="32">
        <v>0</v>
      </c>
      <c r="J21" s="32">
        <f t="shared" si="5"/>
        <v>5726.37</v>
      </c>
      <c r="K21" s="32"/>
      <c r="L21" s="32"/>
      <c r="M21" s="32">
        <f t="shared" si="6"/>
        <v>4551.73</v>
      </c>
      <c r="N21" s="32">
        <v>0</v>
      </c>
      <c r="O21" s="51">
        <f t="shared" si="7"/>
        <v>23169.773999999998</v>
      </c>
      <c r="P21" s="34">
        <f>1397+2555</f>
        <v>3952</v>
      </c>
      <c r="Q21" s="56">
        <v>12449</v>
      </c>
      <c r="R21" s="32">
        <f t="shared" si="8"/>
        <v>2936.6</v>
      </c>
      <c r="S21" s="35">
        <f t="shared" si="9"/>
        <v>42507.373999999996</v>
      </c>
    </row>
    <row r="22" spans="1:19" ht="12.75">
      <c r="A22" s="30" t="s">
        <v>1</v>
      </c>
      <c r="B22" s="31">
        <f>11142.4+7040.8</f>
        <v>18183.2</v>
      </c>
      <c r="C22" s="31">
        <f>4178.4+2975.4</f>
        <v>7153.799999999999</v>
      </c>
      <c r="D22" s="31">
        <v>0</v>
      </c>
      <c r="E22" s="31">
        <f t="shared" si="1"/>
        <v>25337</v>
      </c>
      <c r="F22" s="32">
        <f t="shared" si="2"/>
        <v>2760.4039999999995</v>
      </c>
      <c r="G22" s="32">
        <f t="shared" si="3"/>
        <v>5432.71</v>
      </c>
      <c r="H22" s="33">
        <f t="shared" si="4"/>
        <v>4698.56</v>
      </c>
      <c r="I22" s="32">
        <v>0</v>
      </c>
      <c r="J22" s="32">
        <f t="shared" si="5"/>
        <v>5726.37</v>
      </c>
      <c r="K22" s="32"/>
      <c r="L22" s="32"/>
      <c r="M22" s="32">
        <f t="shared" si="6"/>
        <v>4551.73</v>
      </c>
      <c r="N22" s="32">
        <v>0</v>
      </c>
      <c r="O22" s="51">
        <f t="shared" si="7"/>
        <v>23169.773999999998</v>
      </c>
      <c r="P22" s="34">
        <v>0</v>
      </c>
      <c r="Q22" s="56">
        <v>0</v>
      </c>
      <c r="R22" s="32">
        <f t="shared" si="8"/>
        <v>2936.6</v>
      </c>
      <c r="S22" s="35">
        <f t="shared" si="9"/>
        <v>26106.373999999996</v>
      </c>
    </row>
    <row r="23" spans="1:19" ht="12.75">
      <c r="A23" s="30" t="s">
        <v>3</v>
      </c>
      <c r="B23" s="31">
        <f>17108.15+8044.25+5386</f>
        <v>30538.4</v>
      </c>
      <c r="C23" s="31">
        <f>3729+1896.5+9726.75</f>
        <v>15352.25</v>
      </c>
      <c r="D23" s="31">
        <v>0</v>
      </c>
      <c r="E23" s="31">
        <f t="shared" si="1"/>
        <v>45890.65</v>
      </c>
      <c r="F23" s="32">
        <f t="shared" si="2"/>
        <v>2760.4039999999995</v>
      </c>
      <c r="G23" s="32">
        <f t="shared" si="3"/>
        <v>5432.71</v>
      </c>
      <c r="H23" s="33">
        <f t="shared" si="4"/>
        <v>4698.56</v>
      </c>
      <c r="I23" s="32">
        <v>0</v>
      </c>
      <c r="J23" s="32">
        <f t="shared" si="5"/>
        <v>5726.37</v>
      </c>
      <c r="K23" s="32"/>
      <c r="L23" s="32"/>
      <c r="M23" s="32">
        <f t="shared" si="6"/>
        <v>4551.73</v>
      </c>
      <c r="N23" s="32">
        <v>1879</v>
      </c>
      <c r="O23" s="51">
        <f t="shared" si="7"/>
        <v>25048.773999999998</v>
      </c>
      <c r="P23" s="34">
        <f>244+327+15288+410</f>
        <v>16269</v>
      </c>
      <c r="Q23" s="56">
        <v>0</v>
      </c>
      <c r="R23" s="32">
        <f t="shared" si="8"/>
        <v>2936.6</v>
      </c>
      <c r="S23" s="35">
        <f t="shared" si="9"/>
        <v>44254.373999999996</v>
      </c>
    </row>
    <row r="24" spans="1:19" ht="12.75">
      <c r="A24" s="30" t="s">
        <v>42</v>
      </c>
      <c r="B24" s="31">
        <f>17832.65+10982.1</f>
        <v>28814.75</v>
      </c>
      <c r="C24" s="31">
        <f>7047.6+4496.5</f>
        <v>11544.1</v>
      </c>
      <c r="D24" s="31">
        <v>0</v>
      </c>
      <c r="E24" s="31">
        <f t="shared" si="1"/>
        <v>40358.85</v>
      </c>
      <c r="F24" s="32">
        <f t="shared" si="2"/>
        <v>2760.4039999999995</v>
      </c>
      <c r="G24" s="32">
        <f t="shared" si="3"/>
        <v>5432.71</v>
      </c>
      <c r="H24" s="33">
        <f t="shared" si="4"/>
        <v>4698.56</v>
      </c>
      <c r="I24" s="32">
        <v>0</v>
      </c>
      <c r="J24" s="32">
        <f t="shared" si="5"/>
        <v>5726.37</v>
      </c>
      <c r="K24" s="32"/>
      <c r="L24" s="32"/>
      <c r="M24" s="32">
        <f t="shared" si="6"/>
        <v>4551.73</v>
      </c>
      <c r="N24" s="32">
        <v>0</v>
      </c>
      <c r="O24" s="51">
        <f t="shared" si="7"/>
        <v>23169.773999999998</v>
      </c>
      <c r="P24" s="34">
        <v>70</v>
      </c>
      <c r="Q24" s="56">
        <v>3412</v>
      </c>
      <c r="R24" s="32">
        <f t="shared" si="8"/>
        <v>2936.6</v>
      </c>
      <c r="S24" s="35">
        <f t="shared" si="9"/>
        <v>29588.373999999996</v>
      </c>
    </row>
    <row r="25" spans="1:19" ht="12.75">
      <c r="A25" s="30" t="s">
        <v>43</v>
      </c>
      <c r="B25" s="31">
        <f>19345.9+9981.2</f>
        <v>29327.100000000002</v>
      </c>
      <c r="C25" s="31">
        <f>9179.75+4293.5</f>
        <v>13473.25</v>
      </c>
      <c r="D25" s="31">
        <v>0</v>
      </c>
      <c r="E25" s="31">
        <f t="shared" si="1"/>
        <v>42800.350000000006</v>
      </c>
      <c r="F25" s="32">
        <f t="shared" si="2"/>
        <v>2760.4039999999995</v>
      </c>
      <c r="G25" s="32">
        <f t="shared" si="3"/>
        <v>5432.71</v>
      </c>
      <c r="H25" s="33">
        <f t="shared" si="4"/>
        <v>4698.56</v>
      </c>
      <c r="I25" s="32">
        <v>900</v>
      </c>
      <c r="J25" s="32">
        <f t="shared" si="5"/>
        <v>5726.37</v>
      </c>
      <c r="K25" s="32"/>
      <c r="L25" s="32"/>
      <c r="M25" s="32">
        <f t="shared" si="6"/>
        <v>4551.73</v>
      </c>
      <c r="N25" s="32">
        <v>3772.07</v>
      </c>
      <c r="O25" s="51">
        <f t="shared" si="7"/>
        <v>27841.843999999997</v>
      </c>
      <c r="P25" s="34">
        <v>329</v>
      </c>
      <c r="Q25" s="56">
        <v>0</v>
      </c>
      <c r="R25" s="32">
        <f t="shared" si="8"/>
        <v>2936.6</v>
      </c>
      <c r="S25" s="35">
        <f t="shared" si="9"/>
        <v>31107.443999999996</v>
      </c>
    </row>
    <row r="26" spans="1:19" ht="12.75">
      <c r="A26" s="30" t="s">
        <v>44</v>
      </c>
      <c r="B26" s="31">
        <f>17139.1+12929.8</f>
        <v>30068.899999999998</v>
      </c>
      <c r="C26" s="31">
        <f>6891+4915</f>
        <v>11806</v>
      </c>
      <c r="D26" s="31">
        <v>0</v>
      </c>
      <c r="E26" s="31">
        <f t="shared" si="1"/>
        <v>41874.899999999994</v>
      </c>
      <c r="F26" s="32">
        <f t="shared" si="2"/>
        <v>2760.4039999999995</v>
      </c>
      <c r="G26" s="32">
        <f t="shared" si="3"/>
        <v>5432.71</v>
      </c>
      <c r="H26" s="33">
        <f t="shared" si="4"/>
        <v>4698.56</v>
      </c>
      <c r="I26" s="32">
        <v>1400</v>
      </c>
      <c r="J26" s="32">
        <f t="shared" si="5"/>
        <v>5726.37</v>
      </c>
      <c r="K26" s="32"/>
      <c r="L26" s="32"/>
      <c r="M26" s="32">
        <f t="shared" si="6"/>
        <v>4551.73</v>
      </c>
      <c r="N26" s="32">
        <v>0</v>
      </c>
      <c r="O26" s="51">
        <f t="shared" si="7"/>
        <v>24569.773999999998</v>
      </c>
      <c r="P26" s="34">
        <v>0</v>
      </c>
      <c r="Q26" s="56">
        <v>0</v>
      </c>
      <c r="R26" s="32">
        <f t="shared" si="8"/>
        <v>2936.6</v>
      </c>
      <c r="S26" s="35">
        <f t="shared" si="9"/>
        <v>27506.373999999996</v>
      </c>
    </row>
    <row r="27" spans="1:19" ht="12.75">
      <c r="A27" s="30" t="s">
        <v>45</v>
      </c>
      <c r="B27" s="31">
        <f>20100.65+9810.4</f>
        <v>29911.050000000003</v>
      </c>
      <c r="C27" s="31">
        <f>8192.25+4417</f>
        <v>12609.25</v>
      </c>
      <c r="D27" s="31">
        <v>0</v>
      </c>
      <c r="E27" s="31">
        <f t="shared" si="1"/>
        <v>42520.3</v>
      </c>
      <c r="F27" s="32">
        <f t="shared" si="2"/>
        <v>2760.4039999999995</v>
      </c>
      <c r="G27" s="32">
        <f t="shared" si="3"/>
        <v>5432.71</v>
      </c>
      <c r="H27" s="33">
        <f t="shared" si="4"/>
        <v>4698.56</v>
      </c>
      <c r="I27" s="32">
        <v>1400</v>
      </c>
      <c r="J27" s="32">
        <f t="shared" si="5"/>
        <v>5726.37</v>
      </c>
      <c r="K27" s="32"/>
      <c r="L27" s="32"/>
      <c r="M27" s="32">
        <f t="shared" si="6"/>
        <v>4551.73</v>
      </c>
      <c r="N27" s="32">
        <v>0</v>
      </c>
      <c r="O27" s="51">
        <f t="shared" si="7"/>
        <v>24569.773999999998</v>
      </c>
      <c r="P27" s="34">
        <v>294</v>
      </c>
      <c r="Q27" s="56">
        <v>0</v>
      </c>
      <c r="R27" s="32">
        <f t="shared" si="8"/>
        <v>2936.6</v>
      </c>
      <c r="S27" s="35">
        <f t="shared" si="9"/>
        <v>27800.373999999996</v>
      </c>
    </row>
    <row r="28" spans="1:19" ht="24">
      <c r="A28" s="36" t="s">
        <v>46</v>
      </c>
      <c r="B28" s="31">
        <f>900+900+1800+1800</f>
        <v>5400</v>
      </c>
      <c r="C28" s="31">
        <v>0</v>
      </c>
      <c r="D28" s="31">
        <v>0</v>
      </c>
      <c r="E28" s="31">
        <f>B28+C28+D28</f>
        <v>5400</v>
      </c>
      <c r="F28" s="32"/>
      <c r="G28" s="32"/>
      <c r="H28" s="32"/>
      <c r="I28" s="32"/>
      <c r="J28" s="32"/>
      <c r="K28" s="32"/>
      <c r="L28" s="32"/>
      <c r="M28" s="32"/>
      <c r="N28" s="32"/>
      <c r="O28" s="51"/>
      <c r="P28" s="34"/>
      <c r="Q28" s="56"/>
      <c r="R28" s="32"/>
      <c r="S28" s="35"/>
    </row>
    <row r="29" spans="1:19" ht="12.75">
      <c r="A29" s="37" t="s">
        <v>2</v>
      </c>
      <c r="B29" s="38">
        <f>SUM(B16:B28)</f>
        <v>292117.63</v>
      </c>
      <c r="C29" s="57">
        <f>SUM(C16:C28)</f>
        <v>118724.15000000001</v>
      </c>
      <c r="D29" s="38">
        <f>SUM(D16:D28)</f>
        <v>0</v>
      </c>
      <c r="E29" s="38">
        <f>SUM(E15:E28)</f>
        <v>400075.29</v>
      </c>
      <c r="F29" s="38">
        <f>SUM(F16:F28)</f>
        <v>33124.84799999999</v>
      </c>
      <c r="G29" s="38">
        <f>SUM(G16:G28)</f>
        <v>65192.52</v>
      </c>
      <c r="H29" s="38">
        <f>SUM(H16:H28)</f>
        <v>56382.719999999994</v>
      </c>
      <c r="I29" s="38">
        <f>SUM(I16:I28)</f>
        <v>8600</v>
      </c>
      <c r="J29" s="38">
        <f>SUM(J16:J28)</f>
        <v>68716.44000000002</v>
      </c>
      <c r="K29" s="38"/>
      <c r="L29" s="38"/>
      <c r="M29" s="38">
        <f aca="true" t="shared" si="10" ref="M29:S29">SUM(M16:M28)</f>
        <v>54620.75999999998</v>
      </c>
      <c r="N29" s="38">
        <f t="shared" si="10"/>
        <v>7530.07</v>
      </c>
      <c r="O29" s="38">
        <f t="shared" si="10"/>
        <v>294167.35799999995</v>
      </c>
      <c r="P29" s="38">
        <f t="shared" si="10"/>
        <v>29529</v>
      </c>
      <c r="Q29" s="57">
        <f t="shared" si="10"/>
        <v>15861</v>
      </c>
      <c r="R29" s="38">
        <f t="shared" si="10"/>
        <v>35239.19999999999</v>
      </c>
      <c r="S29" s="39">
        <f t="shared" si="10"/>
        <v>374796.5580000001</v>
      </c>
    </row>
    <row r="30" spans="1:19" ht="12.75">
      <c r="A30" s="47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9" t="s">
        <v>11</v>
      </c>
      <c r="R30" s="69">
        <f>E29-S29</f>
        <v>25278.7319999999</v>
      </c>
      <c r="S30" s="69"/>
    </row>
    <row r="31" spans="1:19" ht="12.75">
      <c r="A31" s="47"/>
      <c r="B31" s="5" t="s">
        <v>5</v>
      </c>
      <c r="C31" s="58">
        <v>1879</v>
      </c>
      <c r="D31" s="5" t="s">
        <v>66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48"/>
    </row>
    <row r="32" spans="2:4" ht="12.75">
      <c r="B32" s="1" t="s">
        <v>3</v>
      </c>
      <c r="C32" s="59">
        <v>1879</v>
      </c>
      <c r="D32" s="1" t="s">
        <v>66</v>
      </c>
    </row>
    <row r="33" spans="2:16" ht="12.75">
      <c r="B33" s="1" t="s">
        <v>9</v>
      </c>
      <c r="C33" s="59">
        <v>3772.07</v>
      </c>
      <c r="D33" s="1" t="s">
        <v>67</v>
      </c>
      <c r="O33" s="60"/>
      <c r="P33" s="6"/>
    </row>
    <row r="34" spans="2:4" ht="12.75">
      <c r="B34" s="1"/>
      <c r="C34" s="59"/>
      <c r="D34" s="1"/>
    </row>
    <row r="35" spans="2:4" ht="12.75">
      <c r="B35" s="1"/>
      <c r="C35" s="1"/>
      <c r="D35" s="1"/>
    </row>
    <row r="36" spans="1:19" ht="15">
      <c r="A36" s="102" t="s">
        <v>47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</row>
    <row r="37" spans="1:19" ht="12.75">
      <c r="A37" s="103" t="s">
        <v>48</v>
      </c>
      <c r="B37" s="103"/>
      <c r="C37" s="104" t="s">
        <v>7</v>
      </c>
      <c r="D37" s="104"/>
      <c r="E37" s="104"/>
      <c r="F37" s="104"/>
      <c r="G37" s="104"/>
      <c r="H37" s="104"/>
      <c r="I37" s="104"/>
      <c r="J37" s="104"/>
      <c r="K37" s="104"/>
      <c r="L37" s="105" t="s">
        <v>49</v>
      </c>
      <c r="M37" s="106"/>
      <c r="N37" s="107"/>
      <c r="O37" s="103" t="s">
        <v>50</v>
      </c>
      <c r="P37" s="78"/>
      <c r="Q37" s="103" t="s">
        <v>51</v>
      </c>
      <c r="R37" s="103"/>
      <c r="S37" s="78" t="s">
        <v>52</v>
      </c>
    </row>
    <row r="38" spans="1:19" ht="12.75">
      <c r="A38" s="103"/>
      <c r="B38" s="103"/>
      <c r="C38" s="104"/>
      <c r="D38" s="104"/>
      <c r="E38" s="104"/>
      <c r="F38" s="104"/>
      <c r="G38" s="104"/>
      <c r="H38" s="104"/>
      <c r="I38" s="104"/>
      <c r="J38" s="104"/>
      <c r="K38" s="104"/>
      <c r="L38" s="108"/>
      <c r="M38" s="109"/>
      <c r="N38" s="110"/>
      <c r="O38" s="103"/>
      <c r="P38" s="79"/>
      <c r="Q38" s="103"/>
      <c r="R38" s="103"/>
      <c r="S38" s="79"/>
    </row>
    <row r="39" spans="1:19" ht="12.75">
      <c r="A39" s="64"/>
      <c r="B39" s="65"/>
      <c r="C39" s="89" t="s">
        <v>53</v>
      </c>
      <c r="D39" s="90"/>
      <c r="E39" s="90"/>
      <c r="F39" s="90"/>
      <c r="G39" s="90"/>
      <c r="H39" s="90"/>
      <c r="I39" s="90"/>
      <c r="J39" s="90"/>
      <c r="K39" s="91"/>
      <c r="L39" s="92"/>
      <c r="M39" s="93"/>
      <c r="N39" s="94"/>
      <c r="O39" s="7"/>
      <c r="P39" s="7"/>
      <c r="Q39" s="68"/>
      <c r="R39" s="68"/>
      <c r="S39" s="7"/>
    </row>
    <row r="40" spans="1:19" ht="12.75">
      <c r="A40" s="64"/>
      <c r="B40" s="65"/>
      <c r="C40" s="89" t="s">
        <v>54</v>
      </c>
      <c r="D40" s="90"/>
      <c r="E40" s="90"/>
      <c r="F40" s="90"/>
      <c r="G40" s="90"/>
      <c r="H40" s="90"/>
      <c r="I40" s="90"/>
      <c r="J40" s="90"/>
      <c r="K40" s="91"/>
      <c r="L40" s="71" t="s">
        <v>55</v>
      </c>
      <c r="M40" s="72"/>
      <c r="N40" s="73"/>
      <c r="O40" s="40">
        <v>0.05</v>
      </c>
      <c r="P40" s="41"/>
      <c r="Q40" s="61">
        <f>SUM(O40*2487*12)</f>
        <v>1492.2</v>
      </c>
      <c r="R40" s="61"/>
      <c r="S40" s="40"/>
    </row>
    <row r="41" spans="1:19" ht="12.75">
      <c r="A41" s="64"/>
      <c r="B41" s="65"/>
      <c r="C41" s="89" t="s">
        <v>56</v>
      </c>
      <c r="D41" s="90"/>
      <c r="E41" s="90"/>
      <c r="F41" s="90"/>
      <c r="G41" s="90"/>
      <c r="H41" s="90"/>
      <c r="I41" s="90"/>
      <c r="J41" s="90"/>
      <c r="K41" s="91"/>
      <c r="L41" s="71" t="s">
        <v>55</v>
      </c>
      <c r="M41" s="72"/>
      <c r="N41" s="73"/>
      <c r="O41" s="40">
        <v>0.05</v>
      </c>
      <c r="P41" s="41"/>
      <c r="Q41" s="61">
        <f aca="true" t="shared" si="11" ref="Q41:Q47">SUM(O41*2487*12)</f>
        <v>1492.2</v>
      </c>
      <c r="R41" s="61"/>
      <c r="S41" s="40"/>
    </row>
    <row r="42" spans="1:19" ht="12.75">
      <c r="A42" s="64"/>
      <c r="B42" s="65"/>
      <c r="C42" s="89" t="s">
        <v>57</v>
      </c>
      <c r="D42" s="90"/>
      <c r="E42" s="90"/>
      <c r="F42" s="90"/>
      <c r="G42" s="90"/>
      <c r="H42" s="90"/>
      <c r="I42" s="90"/>
      <c r="J42" s="90"/>
      <c r="K42" s="91"/>
      <c r="L42" s="71" t="s">
        <v>58</v>
      </c>
      <c r="M42" s="72"/>
      <c r="N42" s="73"/>
      <c r="O42" s="40">
        <v>0.15</v>
      </c>
      <c r="P42" s="41"/>
      <c r="Q42" s="61">
        <f t="shared" si="11"/>
        <v>4476.6</v>
      </c>
      <c r="R42" s="61"/>
      <c r="S42" s="40"/>
    </row>
    <row r="43" spans="1:19" ht="12.75">
      <c r="A43" s="62"/>
      <c r="B43" s="63"/>
      <c r="C43" s="86" t="s">
        <v>59</v>
      </c>
      <c r="D43" s="87"/>
      <c r="E43" s="87"/>
      <c r="F43" s="87"/>
      <c r="G43" s="87"/>
      <c r="H43" s="87"/>
      <c r="I43" s="87"/>
      <c r="J43" s="87"/>
      <c r="K43" s="88"/>
      <c r="L43" s="71" t="s">
        <v>55</v>
      </c>
      <c r="M43" s="72"/>
      <c r="N43" s="73"/>
      <c r="O43" s="4">
        <v>0.15</v>
      </c>
      <c r="P43" s="4"/>
      <c r="Q43" s="61">
        <f t="shared" si="11"/>
        <v>4476.6</v>
      </c>
      <c r="R43" s="61"/>
      <c r="S43" s="4"/>
    </row>
    <row r="44" spans="1:19" ht="12.75">
      <c r="A44" s="61"/>
      <c r="B44" s="61"/>
      <c r="C44" s="80" t="s">
        <v>60</v>
      </c>
      <c r="D44" s="81"/>
      <c r="E44" s="81"/>
      <c r="F44" s="81"/>
      <c r="G44" s="81"/>
      <c r="H44" s="81"/>
      <c r="I44" s="81"/>
      <c r="J44" s="81"/>
      <c r="K44" s="82"/>
      <c r="L44" s="83" t="s">
        <v>61</v>
      </c>
      <c r="M44" s="84"/>
      <c r="N44" s="85"/>
      <c r="O44" s="4">
        <v>0.25</v>
      </c>
      <c r="P44" s="4"/>
      <c r="Q44" s="61">
        <f t="shared" si="11"/>
        <v>7461</v>
      </c>
      <c r="R44" s="61"/>
      <c r="S44" s="4"/>
    </row>
    <row r="45" spans="1:19" ht="12.75">
      <c r="A45" s="62"/>
      <c r="B45" s="63"/>
      <c r="C45" s="80" t="s">
        <v>62</v>
      </c>
      <c r="D45" s="81"/>
      <c r="E45" s="81"/>
      <c r="F45" s="81"/>
      <c r="G45" s="81"/>
      <c r="H45" s="81"/>
      <c r="I45" s="81"/>
      <c r="J45" s="81"/>
      <c r="K45" s="82"/>
      <c r="L45" s="83" t="s">
        <v>61</v>
      </c>
      <c r="M45" s="84"/>
      <c r="N45" s="85"/>
      <c r="O45" s="4">
        <v>0.1</v>
      </c>
      <c r="P45" s="42"/>
      <c r="Q45" s="61">
        <f t="shared" si="11"/>
        <v>2984.4</v>
      </c>
      <c r="R45" s="61"/>
      <c r="S45" s="4"/>
    </row>
    <row r="46" spans="1:19" ht="12.75">
      <c r="A46" s="61"/>
      <c r="B46" s="61"/>
      <c r="C46" s="86" t="s">
        <v>63</v>
      </c>
      <c r="D46" s="87"/>
      <c r="E46" s="87"/>
      <c r="F46" s="87"/>
      <c r="G46" s="87"/>
      <c r="H46" s="87"/>
      <c r="I46" s="87"/>
      <c r="J46" s="87"/>
      <c r="K46" s="88"/>
      <c r="L46" s="83" t="s">
        <v>61</v>
      </c>
      <c r="M46" s="84"/>
      <c r="N46" s="85"/>
      <c r="O46" s="4">
        <v>0.25</v>
      </c>
      <c r="P46" s="4"/>
      <c r="Q46" s="61">
        <f t="shared" si="11"/>
        <v>7461</v>
      </c>
      <c r="R46" s="61"/>
      <c r="S46" s="4"/>
    </row>
    <row r="47" spans="1:19" ht="12.75">
      <c r="A47" s="43"/>
      <c r="B47" s="8"/>
      <c r="C47" s="70" t="s">
        <v>64</v>
      </c>
      <c r="D47" s="70"/>
      <c r="E47" s="70"/>
      <c r="F47" s="70"/>
      <c r="G47" s="70"/>
      <c r="H47" s="70"/>
      <c r="I47" s="70"/>
      <c r="J47" s="70"/>
      <c r="K47" s="70"/>
      <c r="L47" s="71" t="s">
        <v>55</v>
      </c>
      <c r="M47" s="72"/>
      <c r="N47" s="73"/>
      <c r="O47" s="3">
        <v>1</v>
      </c>
      <c r="P47" s="44"/>
      <c r="Q47" s="61">
        <f t="shared" si="11"/>
        <v>29844</v>
      </c>
      <c r="R47" s="61"/>
      <c r="S47" s="4"/>
    </row>
    <row r="48" spans="5:19" ht="12.75">
      <c r="E48" s="74" t="s">
        <v>12</v>
      </c>
      <c r="F48" s="75"/>
      <c r="G48" s="75"/>
      <c r="H48" s="75"/>
      <c r="I48" s="75"/>
      <c r="J48" s="75"/>
      <c r="K48" s="75"/>
      <c r="L48" s="75"/>
      <c r="M48" s="75"/>
      <c r="N48" s="76"/>
      <c r="O48" s="45">
        <f>SUM(O40:O47)</f>
        <v>2</v>
      </c>
      <c r="P48" s="46"/>
      <c r="Q48" s="77">
        <f>SUM(Q40:Q47)</f>
        <v>59688</v>
      </c>
      <c r="R48" s="77"/>
      <c r="S48" s="4"/>
    </row>
  </sheetData>
  <sheetProtection/>
  <mergeCells count="77">
    <mergeCell ref="A4:S4"/>
    <mergeCell ref="A5:S5"/>
    <mergeCell ref="A6:E6"/>
    <mergeCell ref="F6:R6"/>
    <mergeCell ref="B7:E7"/>
    <mergeCell ref="F7:O7"/>
    <mergeCell ref="P7:Q8"/>
    <mergeCell ref="R7:R9"/>
    <mergeCell ref="S7:S9"/>
    <mergeCell ref="B8:B9"/>
    <mergeCell ref="M8:M9"/>
    <mergeCell ref="N8:N9"/>
    <mergeCell ref="C8:C9"/>
    <mergeCell ref="D8:D9"/>
    <mergeCell ref="E8:E9"/>
    <mergeCell ref="F8:F9"/>
    <mergeCell ref="G8:G9"/>
    <mergeCell ref="H8:H9"/>
    <mergeCell ref="O8:O9"/>
    <mergeCell ref="P10:Q10"/>
    <mergeCell ref="A12:D12"/>
    <mergeCell ref="F12:N12"/>
    <mergeCell ref="P12:Q12"/>
    <mergeCell ref="A13:E13"/>
    <mergeCell ref="I8:I9"/>
    <mergeCell ref="J8:J9"/>
    <mergeCell ref="K8:K9"/>
    <mergeCell ref="L8:L9"/>
    <mergeCell ref="A14:E14"/>
    <mergeCell ref="F14:S14"/>
    <mergeCell ref="A15:D15"/>
    <mergeCell ref="A36:S36"/>
    <mergeCell ref="A37:B38"/>
    <mergeCell ref="C37:K38"/>
    <mergeCell ref="L37:N38"/>
    <mergeCell ref="O37:O38"/>
    <mergeCell ref="P37:P38"/>
    <mergeCell ref="Q37:R38"/>
    <mergeCell ref="A39:B39"/>
    <mergeCell ref="C39:K39"/>
    <mergeCell ref="L39:N39"/>
    <mergeCell ref="Q39:R39"/>
    <mergeCell ref="A40:B40"/>
    <mergeCell ref="C40:K40"/>
    <mergeCell ref="L40:N40"/>
    <mergeCell ref="Q40:R40"/>
    <mergeCell ref="A41:B41"/>
    <mergeCell ref="C41:K41"/>
    <mergeCell ref="L41:N41"/>
    <mergeCell ref="Q41:R41"/>
    <mergeCell ref="A42:B42"/>
    <mergeCell ref="C42:K42"/>
    <mergeCell ref="L42:N42"/>
    <mergeCell ref="Q42:R42"/>
    <mergeCell ref="A43:B43"/>
    <mergeCell ref="C43:K43"/>
    <mergeCell ref="L43:N43"/>
    <mergeCell ref="Q43:R43"/>
    <mergeCell ref="A44:B44"/>
    <mergeCell ref="C44:K44"/>
    <mergeCell ref="L44:N44"/>
    <mergeCell ref="Q44:R44"/>
    <mergeCell ref="A45:B45"/>
    <mergeCell ref="C45:K45"/>
    <mergeCell ref="L45:N45"/>
    <mergeCell ref="Q45:R45"/>
    <mergeCell ref="A46:B46"/>
    <mergeCell ref="C46:K46"/>
    <mergeCell ref="L46:N46"/>
    <mergeCell ref="Q46:R46"/>
    <mergeCell ref="R30:S30"/>
    <mergeCell ref="C47:K47"/>
    <mergeCell ref="L47:N47"/>
    <mergeCell ref="Q47:R47"/>
    <mergeCell ref="E48:N48"/>
    <mergeCell ref="Q48:R48"/>
    <mergeCell ref="S37:S38"/>
  </mergeCells>
  <printOptions/>
  <pageMargins left="0.14583333333333334" right="0.07291666666666667" top="0.22916666666666666" bottom="0.2708333333333333" header="0.3" footer="0.3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2017-02-06T09:55:42Z</cp:lastPrinted>
  <dcterms:created xsi:type="dcterms:W3CDTF">2007-02-04T12:22:59Z</dcterms:created>
  <dcterms:modified xsi:type="dcterms:W3CDTF">2017-02-06T09:56:59Z</dcterms:modified>
  <cp:category/>
  <cp:version/>
  <cp:contentType/>
  <cp:contentStatus/>
</cp:coreProperties>
</file>