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3800" windowHeight="5535" activeTab="0"/>
  </bookViews>
  <sheets>
    <sheet name="2016" sheetId="1" r:id="rId1"/>
  </sheets>
  <definedNames>
    <definedName name="_xlnm.Print_Area" localSheetId="0">'2016'!$A$5:$S$38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3000р-спил одного дерева+опиловка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1816р-известь,кисти мочальные</t>
        </r>
      </text>
    </comment>
    <comment ref="N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покос-2108р</t>
        </r>
      </text>
    </comment>
    <comment ref="N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покос-2108р</t>
        </r>
      </text>
    </comment>
    <comment ref="N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4636,81р-дезинсекция</t>
        </r>
      </text>
    </comment>
    <comment ref="N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1500р-замена батарейки
1601,41р-тех.обслуживание ОДГО</t>
        </r>
      </text>
    </comment>
    <comment ref="B2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 июля+1</t>
        </r>
      </text>
    </comment>
  </commentList>
</comments>
</file>

<file path=xl/sharedStrings.xml><?xml version="1.0" encoding="utf-8"?>
<sst xmlns="http://schemas.openxmlformats.org/spreadsheetml/2006/main" count="84" uniqueCount="76">
  <si>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</si>
  <si>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</si>
  <si>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</si>
  <si>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</si>
  <si>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</si>
  <si>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</si>
  <si>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</si>
  <si>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Содержание</t>
  </si>
  <si>
    <t>февраль</t>
  </si>
  <si>
    <t>март</t>
  </si>
  <si>
    <t>ремонт</t>
  </si>
  <si>
    <t>итого</t>
  </si>
  <si>
    <t>Наименование работ</t>
  </si>
  <si>
    <t>ИТОГО</t>
  </si>
  <si>
    <t>ИТОГО: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</si>
  <si>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</si>
  <si>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</si>
  <si>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</si>
  <si>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</si>
  <si>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</si>
  <si>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</si>
  <si>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</si>
  <si>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</si>
  <si>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</si>
  <si>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</si>
  <si>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</si>
  <si>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</si>
  <si>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</si>
  <si>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</si>
  <si>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</si>
  <si>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</si>
  <si>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</si>
  <si>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</si>
  <si>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</si>
  <si>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</si>
  <si>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</si>
  <si>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</si>
  <si>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</si>
  <si>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</si>
  <si>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</si>
  <si>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</si>
  <si>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</si>
  <si>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</si>
  <si>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</si>
  <si>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</si>
  <si>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</si>
  <si>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</si>
  <si>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</si>
  <si>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</si>
  <si>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</si>
  <si>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</si>
  <si>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</si>
  <si>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</si>
  <si>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</si>
  <si>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</si>
  <si>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</si>
  <si>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</si>
  <si>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</si>
  <si>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</si>
  <si>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</si>
  <si>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</si>
  <si>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</si>
  <si>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</si>
  <si>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</si>
  <si>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</si>
  <si>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</si>
  <si>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</si>
  <si>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</si>
  <si>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__Калинина 146/4__на 2016год.</t>
  </si>
  <si>
    <t>спил одного дерева+опиловка</t>
  </si>
  <si>
    <t>известь, кисти мочальные</t>
  </si>
  <si>
    <t>покос</t>
  </si>
  <si>
    <t>покос (июль)</t>
  </si>
  <si>
    <t>дезинсекция</t>
  </si>
  <si>
    <t>замена батарейки</t>
  </si>
  <si>
    <t>тех.обслуживание ОДГО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</si>
</sst>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0.000"/>
    <numFmt numFmtId="169" formatCode="0.0"/>
    <numFmt numFmtId="170" formatCode="#,##0.0000_р_."/>
    <numFmt numFmtId="171" formatCode="#,##0.00&quot;р.&quot;"/>
    <numFmt numFmtId="172" formatCode="#,##0.00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&quot;р.&quot;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164" fontId="1" fillId="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7" fillId="33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9" fillId="3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left" wrapText="1"/>
    </xf>
    <xf numFmtId="0" fontId="47" fillId="0" borderId="13" xfId="0" applyFont="1" applyBorder="1" applyAlignment="1">
      <alignment horizontal="left"/>
    </xf>
    <xf numFmtId="2" fontId="7" fillId="0" borderId="13" xfId="0" applyNumberFormat="1" applyFont="1" applyBorder="1" applyAlignment="1">
      <alignment horizontal="left" wrapText="1"/>
    </xf>
    <xf numFmtId="0" fontId="9" fillId="33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/>
    </xf>
    <xf numFmtId="4" fontId="5" fillId="33" borderId="10" xfId="0" applyNumberFormat="1" applyFont="1" applyFill="1" applyBorder="1" applyAlignment="1">
      <alignment/>
    </xf>
    <xf numFmtId="2" fontId="7" fillId="0" borderId="13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5" fillId="3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/>
    </xf>
    <xf numFmtId="164" fontId="1" fillId="13" borderId="10" xfId="0" applyNumberFormat="1" applyFont="1" applyFill="1" applyBorder="1" applyAlignment="1">
      <alignment/>
    </xf>
    <xf numFmtId="164" fontId="1" fillId="13" borderId="13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5" fillId="12" borderId="10" xfId="0" applyNumberFormat="1" applyFont="1" applyFill="1" applyBorder="1" applyAlignment="1">
      <alignment horizontal="left" wrapText="1"/>
    </xf>
    <xf numFmtId="164" fontId="1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164" fontId="1" fillId="9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top" wrapText="1"/>
    </xf>
    <xf numFmtId="2" fontId="7" fillId="0" borderId="13" xfId="0" applyNumberFormat="1" applyFont="1" applyFill="1" applyBorder="1" applyAlignment="1">
      <alignment horizontal="right" vertical="top" wrapText="1"/>
    </xf>
    <xf numFmtId="2" fontId="7" fillId="0" borderId="10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17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2" borderId="14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textRotation="90" wrapText="1"/>
    </xf>
    <xf numFmtId="0" fontId="0" fillId="0" borderId="13" xfId="0" applyBorder="1" applyAlignment="1">
      <alignment horizontal="left"/>
    </xf>
    <xf numFmtId="2" fontId="7" fillId="0" borderId="14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7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49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left" wrapText="1"/>
    </xf>
    <xf numFmtId="2" fontId="7" fillId="0" borderId="20" xfId="0" applyNumberFormat="1" applyFont="1" applyBorder="1" applyAlignment="1">
      <alignment horizontal="left" wrapText="1"/>
    </xf>
    <xf numFmtId="2" fontId="7" fillId="0" borderId="21" xfId="0" applyNumberFormat="1" applyFont="1" applyBorder="1" applyAlignment="1">
      <alignment horizontal="left" wrapText="1"/>
    </xf>
    <xf numFmtId="2" fontId="7" fillId="0" borderId="22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textRotation="90" wrapText="1"/>
    </xf>
    <xf numFmtId="2" fontId="7" fillId="0" borderId="23" xfId="0" applyNumberFormat="1" applyFont="1" applyBorder="1" applyAlignment="1">
      <alignment horizontal="left" textRotation="90" wrapText="1"/>
    </xf>
    <xf numFmtId="2" fontId="7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T53"/>
  <sheetViews>
    <sheetView tabSelected="1" workbookViewId="0" topLeftCell="A1">
      <selection activeCell="J34" sqref="J34"/>
    </sheetView>
  </sheetViews>
  <sheetFormatPr defaultColWidth="9.00390625" defaultRowHeight="12.75"/>
  <cols>
    <col min="1" max="1" width="6.375" style="0" customWidth="1"/>
    <col min="2" max="2" width="9.875" style="0" customWidth="1"/>
    <col min="3" max="3" width="9.75390625" style="0" customWidth="1"/>
    <col min="4" max="4" width="5.625" style="0" customWidth="1"/>
    <col min="5" max="5" width="10.00390625" style="0" customWidth="1"/>
    <col min="6" max="7" width="8.875" style="0" customWidth="1"/>
    <col min="10" max="10" width="8.875" style="0" customWidth="1"/>
    <col min="11" max="11" width="9.125" style="0" hidden="1" customWidth="1"/>
    <col min="12" max="12" width="0.2421875" style="0" hidden="1" customWidth="1"/>
    <col min="13" max="13" width="9.00390625" style="0" customWidth="1"/>
    <col min="14" max="14" width="9.125" style="0" customWidth="1"/>
    <col min="15" max="15" width="9.75390625" style="0" customWidth="1"/>
    <col min="17" max="17" width="6.75390625" style="0" customWidth="1"/>
    <col min="19" max="19" width="8.375" style="0" customWidth="1"/>
  </cols>
  <sheetData>
    <row r="1" ht="12" customHeight="1"/>
    <row r="2" ht="12.75" hidden="1"/>
    <row r="3" ht="0.75" customHeight="1"/>
    <row r="4" ht="3.75" customHeight="1"/>
    <row r="5" spans="1:19" ht="15.75">
      <c r="A5" s="127" t="s">
        <v>68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spans="1:19" ht="12.7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19" ht="12.75">
      <c r="A7" s="128"/>
      <c r="B7" s="58"/>
      <c r="C7" s="58"/>
      <c r="D7" s="58"/>
      <c r="E7" s="59"/>
      <c r="F7" s="61" t="s">
        <v>16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1"/>
    </row>
    <row r="8" spans="1:19" ht="12.75">
      <c r="A8" s="7"/>
      <c r="B8" s="129" t="s">
        <v>17</v>
      </c>
      <c r="C8" s="129"/>
      <c r="D8" s="129"/>
      <c r="E8" s="129"/>
      <c r="F8" s="130" t="s">
        <v>7</v>
      </c>
      <c r="G8" s="131"/>
      <c r="H8" s="131"/>
      <c r="I8" s="131"/>
      <c r="J8" s="131"/>
      <c r="K8" s="131"/>
      <c r="L8" s="131"/>
      <c r="M8" s="131"/>
      <c r="N8" s="131"/>
      <c r="O8" s="132"/>
      <c r="P8" s="133" t="s">
        <v>18</v>
      </c>
      <c r="Q8" s="134"/>
      <c r="R8" s="137" t="s">
        <v>19</v>
      </c>
      <c r="S8" s="140" t="s">
        <v>13</v>
      </c>
    </row>
    <row r="9" spans="1:19" ht="12.75">
      <c r="A9" s="8"/>
      <c r="B9" s="122" t="s">
        <v>20</v>
      </c>
      <c r="C9" s="122" t="s">
        <v>10</v>
      </c>
      <c r="D9" s="122" t="s">
        <v>21</v>
      </c>
      <c r="E9" s="124" t="s">
        <v>11</v>
      </c>
      <c r="F9" s="120" t="s">
        <v>22</v>
      </c>
      <c r="G9" s="120" t="s">
        <v>23</v>
      </c>
      <c r="H9" s="120" t="s">
        <v>24</v>
      </c>
      <c r="I9" s="120" t="s">
        <v>25</v>
      </c>
      <c r="J9" s="120" t="s">
        <v>26</v>
      </c>
      <c r="K9" s="120" t="s">
        <v>27</v>
      </c>
      <c r="L9" s="120" t="s">
        <v>28</v>
      </c>
      <c r="M9" s="120" t="s">
        <v>29</v>
      </c>
      <c r="N9" s="120" t="s">
        <v>30</v>
      </c>
      <c r="O9" s="107" t="s">
        <v>31</v>
      </c>
      <c r="P9" s="135"/>
      <c r="Q9" s="136"/>
      <c r="R9" s="138"/>
      <c r="S9" s="141"/>
    </row>
    <row r="10" spans="1:19" ht="84">
      <c r="A10" s="10"/>
      <c r="B10" s="123"/>
      <c r="C10" s="123"/>
      <c r="D10" s="123"/>
      <c r="E10" s="125"/>
      <c r="F10" s="126"/>
      <c r="G10" s="121"/>
      <c r="H10" s="121"/>
      <c r="I10" s="121"/>
      <c r="J10" s="121"/>
      <c r="K10" s="121"/>
      <c r="L10" s="121"/>
      <c r="M10" s="121"/>
      <c r="N10" s="121"/>
      <c r="O10" s="108"/>
      <c r="P10" s="9" t="s">
        <v>32</v>
      </c>
      <c r="Q10" s="9" t="s">
        <v>33</v>
      </c>
      <c r="R10" s="139"/>
      <c r="S10" s="142"/>
    </row>
    <row r="11" spans="1:19" ht="14.25">
      <c r="A11" s="14">
        <v>2015</v>
      </c>
      <c r="B11" s="11">
        <v>9</v>
      </c>
      <c r="C11" s="11">
        <v>5</v>
      </c>
      <c r="D11" s="11">
        <v>1</v>
      </c>
      <c r="E11" s="12">
        <f>B11+C11+D11</f>
        <v>15</v>
      </c>
      <c r="F11" s="49">
        <v>0.87</v>
      </c>
      <c r="G11" s="15">
        <v>1.71</v>
      </c>
      <c r="H11" s="15">
        <v>1.4</v>
      </c>
      <c r="I11" s="15">
        <v>0.24</v>
      </c>
      <c r="J11" s="15">
        <v>2.19</v>
      </c>
      <c r="K11" s="15">
        <v>0</v>
      </c>
      <c r="L11" s="15">
        <v>0</v>
      </c>
      <c r="M11" s="15">
        <v>1.45</v>
      </c>
      <c r="N11" s="15">
        <v>0</v>
      </c>
      <c r="O11" s="16">
        <f>SUM(F11:N11)</f>
        <v>7.86</v>
      </c>
      <c r="P11" s="109">
        <v>1.96</v>
      </c>
      <c r="Q11" s="110"/>
      <c r="R11" s="17">
        <v>0.83</v>
      </c>
      <c r="S11" s="13">
        <f>SUM(O11:R11)</f>
        <v>10.65</v>
      </c>
    </row>
    <row r="12" spans="1:19" ht="14.25">
      <c r="A12" s="18">
        <v>2016</v>
      </c>
      <c r="B12" s="19">
        <v>10</v>
      </c>
      <c r="C12" s="19">
        <v>5</v>
      </c>
      <c r="D12" s="19">
        <v>1.5</v>
      </c>
      <c r="E12" s="20">
        <f>SUM(B12:D12)</f>
        <v>16.5</v>
      </c>
      <c r="F12" s="52">
        <v>0.9</v>
      </c>
      <c r="G12" s="52">
        <v>1.71</v>
      </c>
      <c r="H12" s="52">
        <v>1.6</v>
      </c>
      <c r="I12" s="52">
        <v>0.24</v>
      </c>
      <c r="J12" s="52">
        <v>1.45</v>
      </c>
      <c r="K12" s="52">
        <v>0</v>
      </c>
      <c r="L12" s="52">
        <v>0</v>
      </c>
      <c r="M12" s="52">
        <v>2.1</v>
      </c>
      <c r="N12" s="52">
        <v>2</v>
      </c>
      <c r="O12" s="53">
        <f>SUM(F12:N12)</f>
        <v>10</v>
      </c>
      <c r="P12" s="54">
        <v>2.5</v>
      </c>
      <c r="Q12" s="54">
        <v>2.5</v>
      </c>
      <c r="R12" s="55">
        <v>1.5</v>
      </c>
      <c r="S12" s="21">
        <f>SUM(O12:R12)</f>
        <v>16.5</v>
      </c>
    </row>
    <row r="13" spans="1:19" ht="24">
      <c r="A13" s="111" t="s">
        <v>34</v>
      </c>
      <c r="B13" s="111"/>
      <c r="C13" s="111"/>
      <c r="D13" s="111"/>
      <c r="E13" s="22">
        <v>3121.31</v>
      </c>
      <c r="F13" s="112" t="s">
        <v>35</v>
      </c>
      <c r="G13" s="113"/>
      <c r="H13" s="113"/>
      <c r="I13" s="113"/>
      <c r="J13" s="113"/>
      <c r="K13" s="113"/>
      <c r="L13" s="113"/>
      <c r="M13" s="113"/>
      <c r="N13" s="114"/>
      <c r="O13" s="21"/>
      <c r="P13" s="115" t="s">
        <v>36</v>
      </c>
      <c r="Q13" s="116"/>
      <c r="R13" s="21" t="s">
        <v>37</v>
      </c>
      <c r="S13" s="21"/>
    </row>
    <row r="14" spans="1:19" ht="12.75">
      <c r="A14" s="117" t="s">
        <v>38</v>
      </c>
      <c r="B14" s="118"/>
      <c r="C14" s="118"/>
      <c r="D14" s="118"/>
      <c r="E14" s="119"/>
      <c r="F14" s="23">
        <f>E13*F12</f>
        <v>2809.179</v>
      </c>
      <c r="G14" s="23">
        <f>E13*G12</f>
        <v>5337.4401</v>
      </c>
      <c r="H14" s="23">
        <f>E13*H12</f>
        <v>4994.0960000000005</v>
      </c>
      <c r="I14" s="23">
        <f>E13*I12</f>
        <v>749.1143999999999</v>
      </c>
      <c r="J14" s="23">
        <f>E13*J12</f>
        <v>4525.8994999999995</v>
      </c>
      <c r="K14" s="23">
        <f>SUM(K12*2487)</f>
        <v>0</v>
      </c>
      <c r="L14" s="23">
        <f>SUM(L12*2487)</f>
        <v>0</v>
      </c>
      <c r="M14" s="23">
        <f>E13*M12</f>
        <v>6554.751</v>
      </c>
      <c r="N14" s="23">
        <f>E13*N12</f>
        <v>6242.62</v>
      </c>
      <c r="O14" s="23">
        <f>SUM(F14:N14)</f>
        <v>31213.1</v>
      </c>
      <c r="P14" s="23">
        <f>E13*P12</f>
        <v>7803.275</v>
      </c>
      <c r="Q14" s="23">
        <f>E13*Q12</f>
        <v>7803.275</v>
      </c>
      <c r="R14" s="23">
        <f>E13*R12</f>
        <v>4681.965</v>
      </c>
      <c r="S14" s="23">
        <f>O14+P14+Q14+R14</f>
        <v>51501.615000000005</v>
      </c>
    </row>
    <row r="15" spans="1:19" ht="12.75">
      <c r="A15" s="91" t="s">
        <v>39</v>
      </c>
      <c r="B15" s="91"/>
      <c r="C15" s="91"/>
      <c r="D15" s="91"/>
      <c r="E15" s="92"/>
      <c r="F15" s="93" t="s">
        <v>40</v>
      </c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5"/>
    </row>
    <row r="16" spans="1:19" ht="12.75">
      <c r="A16" s="96" t="s">
        <v>41</v>
      </c>
      <c r="B16" s="96"/>
      <c r="C16" s="96"/>
      <c r="D16" s="97"/>
      <c r="E16" s="24">
        <v>-115962.55</v>
      </c>
      <c r="F16" s="25"/>
      <c r="G16" s="26"/>
      <c r="H16" s="27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8"/>
    </row>
    <row r="17" spans="1:20" ht="12.75">
      <c r="A17" s="29" t="s">
        <v>42</v>
      </c>
      <c r="B17" s="30">
        <f>15746.78+8956.75</f>
        <v>24703.53</v>
      </c>
      <c r="C17" s="30">
        <f>7688.79+4478+243</f>
        <v>12409.79</v>
      </c>
      <c r="D17" s="30">
        <v>0</v>
      </c>
      <c r="E17" s="2">
        <f aca="true" t="shared" si="0" ref="E17:E28">B17+C17+D17</f>
        <v>37113.32</v>
      </c>
      <c r="F17" s="31">
        <f aca="true" t="shared" si="1" ref="F17:F28">3121.31*0.9</f>
        <v>2809.179</v>
      </c>
      <c r="G17" s="31">
        <f aca="true" t="shared" si="2" ref="G17:G28">3121.31*1.71</f>
        <v>5337.4401</v>
      </c>
      <c r="H17" s="32">
        <f aca="true" t="shared" si="3" ref="H17:H28">3121.31*1.6</f>
        <v>4994.0960000000005</v>
      </c>
      <c r="I17" s="31">
        <v>1400</v>
      </c>
      <c r="J17" s="31">
        <f aca="true" t="shared" si="4" ref="J17:J28">3121.31*1.45</f>
        <v>4525.8994999999995</v>
      </c>
      <c r="K17" s="31">
        <v>0</v>
      </c>
      <c r="L17" s="31">
        <v>0</v>
      </c>
      <c r="M17" s="31">
        <f aca="true" t="shared" si="5" ref="M17:M28">3121.31*2.1</f>
        <v>6554.751</v>
      </c>
      <c r="N17" s="31">
        <v>0</v>
      </c>
      <c r="O17" s="50">
        <f aca="true" t="shared" si="6" ref="O17:O28">SUM(F17:N17)</f>
        <v>25621.3656</v>
      </c>
      <c r="P17" s="33">
        <v>0</v>
      </c>
      <c r="Q17" s="33">
        <v>0</v>
      </c>
      <c r="R17" s="31">
        <f aca="true" t="shared" si="7" ref="R17:R28">3121.31*1.5</f>
        <v>4681.965</v>
      </c>
      <c r="S17" s="34">
        <f aca="true" t="shared" si="8" ref="S17:S28">O17+P17+Q17+R17</f>
        <v>30303.3306</v>
      </c>
      <c r="T17" s="4"/>
    </row>
    <row r="18" spans="1:20" ht="12.75">
      <c r="A18" s="29" t="s">
        <v>43</v>
      </c>
      <c r="B18" s="30">
        <f>17418.1+7781+486</f>
        <v>25685.1</v>
      </c>
      <c r="C18" s="30">
        <f>8210.1+3889.67+243</f>
        <v>12342.77</v>
      </c>
      <c r="D18" s="30">
        <v>0</v>
      </c>
      <c r="E18" s="30">
        <f t="shared" si="0"/>
        <v>38027.869999999995</v>
      </c>
      <c r="F18" s="31">
        <f t="shared" si="1"/>
        <v>2809.179</v>
      </c>
      <c r="G18" s="31">
        <f t="shared" si="2"/>
        <v>5337.4401</v>
      </c>
      <c r="H18" s="32">
        <f t="shared" si="3"/>
        <v>4994.0960000000005</v>
      </c>
      <c r="I18" s="31">
        <v>1400</v>
      </c>
      <c r="J18" s="31">
        <f t="shared" si="4"/>
        <v>4525.8994999999995</v>
      </c>
      <c r="K18" s="31">
        <v>0</v>
      </c>
      <c r="L18" s="31">
        <v>0</v>
      </c>
      <c r="M18" s="31">
        <f t="shared" si="5"/>
        <v>6554.751</v>
      </c>
      <c r="N18" s="31">
        <v>3000</v>
      </c>
      <c r="O18" s="50">
        <f t="shared" si="6"/>
        <v>28621.3656</v>
      </c>
      <c r="P18" s="33">
        <v>1277</v>
      </c>
      <c r="Q18" s="33">
        <v>0</v>
      </c>
      <c r="R18" s="31">
        <f t="shared" si="7"/>
        <v>4681.965</v>
      </c>
      <c r="S18" s="34">
        <f t="shared" si="8"/>
        <v>34580.3306</v>
      </c>
      <c r="T18" s="4"/>
    </row>
    <row r="19" spans="1:20" ht="12.75">
      <c r="A19" s="29" t="s">
        <v>9</v>
      </c>
      <c r="B19" s="30">
        <f>19578.1+9109+486</f>
        <v>29173.1</v>
      </c>
      <c r="C19" s="30">
        <f>10321.49+4554.5+243</f>
        <v>15118.99</v>
      </c>
      <c r="D19" s="30">
        <v>0</v>
      </c>
      <c r="E19" s="30">
        <f t="shared" si="0"/>
        <v>44292.09</v>
      </c>
      <c r="F19" s="31">
        <f t="shared" si="1"/>
        <v>2809.179</v>
      </c>
      <c r="G19" s="31">
        <f t="shared" si="2"/>
        <v>5337.4401</v>
      </c>
      <c r="H19" s="32">
        <f t="shared" si="3"/>
        <v>4994.0960000000005</v>
      </c>
      <c r="I19" s="31">
        <v>1400</v>
      </c>
      <c r="J19" s="31">
        <f t="shared" si="4"/>
        <v>4525.8994999999995</v>
      </c>
      <c r="K19" s="31">
        <v>0</v>
      </c>
      <c r="L19" s="31">
        <v>0</v>
      </c>
      <c r="M19" s="31">
        <f t="shared" si="5"/>
        <v>6554.751</v>
      </c>
      <c r="N19" s="31">
        <v>0</v>
      </c>
      <c r="O19" s="50">
        <f t="shared" si="6"/>
        <v>25621.3656</v>
      </c>
      <c r="P19" s="33">
        <v>0</v>
      </c>
      <c r="Q19" s="33">
        <v>0</v>
      </c>
      <c r="R19" s="31">
        <f t="shared" si="7"/>
        <v>4681.965</v>
      </c>
      <c r="S19" s="34">
        <f t="shared" si="8"/>
        <v>30303.3306</v>
      </c>
      <c r="T19" s="4"/>
    </row>
    <row r="20" spans="1:20" ht="12.75">
      <c r="A20" s="29" t="s">
        <v>44</v>
      </c>
      <c r="B20" s="30">
        <f>21225.48+6503+795</f>
        <v>28523.48</v>
      </c>
      <c r="C20" s="30">
        <f>8622.55+3251.5+397.5</f>
        <v>12271.55</v>
      </c>
      <c r="D20" s="30">
        <v>0</v>
      </c>
      <c r="E20" s="30">
        <f t="shared" si="0"/>
        <v>40795.03</v>
      </c>
      <c r="F20" s="31">
        <f t="shared" si="1"/>
        <v>2809.179</v>
      </c>
      <c r="G20" s="31">
        <f t="shared" si="2"/>
        <v>5337.4401</v>
      </c>
      <c r="H20" s="32">
        <f t="shared" si="3"/>
        <v>4994.0960000000005</v>
      </c>
      <c r="I20" s="31">
        <v>700</v>
      </c>
      <c r="J20" s="31">
        <f t="shared" si="4"/>
        <v>4525.8994999999995</v>
      </c>
      <c r="K20" s="31">
        <v>0</v>
      </c>
      <c r="L20" s="31">
        <v>0</v>
      </c>
      <c r="M20" s="31">
        <f t="shared" si="5"/>
        <v>6554.751</v>
      </c>
      <c r="N20" s="31">
        <v>1816</v>
      </c>
      <c r="O20" s="50">
        <f t="shared" si="6"/>
        <v>26737.3656</v>
      </c>
      <c r="P20" s="33">
        <v>1605</v>
      </c>
      <c r="Q20" s="33">
        <v>0</v>
      </c>
      <c r="R20" s="31">
        <f t="shared" si="7"/>
        <v>4681.965</v>
      </c>
      <c r="S20" s="34">
        <f t="shared" si="8"/>
        <v>33024.3306</v>
      </c>
      <c r="T20" s="4"/>
    </row>
    <row r="21" spans="1:20" ht="12.75">
      <c r="A21" s="29" t="s">
        <v>1</v>
      </c>
      <c r="B21" s="30">
        <f>17857.42+8360+795+1063.2</f>
        <v>28075.62</v>
      </c>
      <c r="C21" s="30">
        <f>8793.55+4180+397.5</f>
        <v>13371.05</v>
      </c>
      <c r="D21" s="30">
        <v>0</v>
      </c>
      <c r="E21" s="30">
        <f t="shared" si="0"/>
        <v>41446.67</v>
      </c>
      <c r="F21" s="31">
        <f t="shared" si="1"/>
        <v>2809.179</v>
      </c>
      <c r="G21" s="31">
        <f t="shared" si="2"/>
        <v>5337.4401</v>
      </c>
      <c r="H21" s="32">
        <f t="shared" si="3"/>
        <v>4994.0960000000005</v>
      </c>
      <c r="I21" s="31">
        <v>0</v>
      </c>
      <c r="J21" s="31">
        <f t="shared" si="4"/>
        <v>4525.8994999999995</v>
      </c>
      <c r="K21" s="31"/>
      <c r="L21" s="31"/>
      <c r="M21" s="31">
        <f t="shared" si="5"/>
        <v>6554.751</v>
      </c>
      <c r="N21" s="31">
        <v>2108</v>
      </c>
      <c r="O21" s="50">
        <f t="shared" si="6"/>
        <v>26329.3656</v>
      </c>
      <c r="P21" s="33">
        <v>0</v>
      </c>
      <c r="Q21" s="33">
        <v>0</v>
      </c>
      <c r="R21" s="31">
        <f t="shared" si="7"/>
        <v>4681.965</v>
      </c>
      <c r="S21" s="34">
        <f t="shared" si="8"/>
        <v>31011.3306</v>
      </c>
      <c r="T21" s="4"/>
    </row>
    <row r="22" spans="1:20" ht="12.75">
      <c r="A22" s="29" t="s">
        <v>2</v>
      </c>
      <c r="B22" s="30">
        <f>16803.42+7216+795</f>
        <v>24814.42</v>
      </c>
      <c r="C22" s="30">
        <f>8401.55+3408+397.5</f>
        <v>12207.05</v>
      </c>
      <c r="D22" s="30">
        <v>0</v>
      </c>
      <c r="E22" s="30">
        <f t="shared" si="0"/>
        <v>37021.47</v>
      </c>
      <c r="F22" s="31">
        <f t="shared" si="1"/>
        <v>2809.179</v>
      </c>
      <c r="G22" s="31">
        <f t="shared" si="2"/>
        <v>5337.4401</v>
      </c>
      <c r="H22" s="32">
        <f t="shared" si="3"/>
        <v>4994.0960000000005</v>
      </c>
      <c r="I22" s="31">
        <v>0</v>
      </c>
      <c r="J22" s="31">
        <f t="shared" si="4"/>
        <v>4525.8994999999995</v>
      </c>
      <c r="K22" s="31"/>
      <c r="L22" s="31"/>
      <c r="M22" s="31">
        <f t="shared" si="5"/>
        <v>6554.751</v>
      </c>
      <c r="N22" s="31">
        <v>0</v>
      </c>
      <c r="O22" s="50">
        <f t="shared" si="6"/>
        <v>24221.3656</v>
      </c>
      <c r="P22" s="33">
        <v>0</v>
      </c>
      <c r="Q22" s="33">
        <v>0</v>
      </c>
      <c r="R22" s="31">
        <f t="shared" si="7"/>
        <v>4681.965</v>
      </c>
      <c r="S22" s="34">
        <f t="shared" si="8"/>
        <v>28903.3306</v>
      </c>
      <c r="T22" s="4"/>
    </row>
    <row r="23" spans="1:20" ht="12.75">
      <c r="A23" s="29" t="s">
        <v>3</v>
      </c>
      <c r="B23" s="30">
        <f>23182.46+7107+795</f>
        <v>31084.46</v>
      </c>
      <c r="C23" s="30">
        <f>13501.95+3753.5+388.5</f>
        <v>17643.95</v>
      </c>
      <c r="D23" s="30">
        <v>0</v>
      </c>
      <c r="E23" s="30">
        <f t="shared" si="0"/>
        <v>48728.41</v>
      </c>
      <c r="F23" s="31">
        <f t="shared" si="1"/>
        <v>2809.179</v>
      </c>
      <c r="G23" s="31">
        <f t="shared" si="2"/>
        <v>5337.4401</v>
      </c>
      <c r="H23" s="32">
        <f t="shared" si="3"/>
        <v>4994.0960000000005</v>
      </c>
      <c r="I23" s="31">
        <v>0</v>
      </c>
      <c r="J23" s="31">
        <f t="shared" si="4"/>
        <v>4525.8994999999995</v>
      </c>
      <c r="K23" s="31"/>
      <c r="L23" s="31"/>
      <c r="M23" s="31">
        <f t="shared" si="5"/>
        <v>6554.751</v>
      </c>
      <c r="N23" s="31">
        <v>0</v>
      </c>
      <c r="O23" s="50">
        <f t="shared" si="6"/>
        <v>24221.3656</v>
      </c>
      <c r="P23" s="33">
        <v>0</v>
      </c>
      <c r="Q23" s="33">
        <v>0</v>
      </c>
      <c r="R23" s="31">
        <f t="shared" si="7"/>
        <v>4681.965</v>
      </c>
      <c r="S23" s="34">
        <f t="shared" si="8"/>
        <v>28903.3306</v>
      </c>
      <c r="T23" s="4"/>
    </row>
    <row r="24" spans="1:20" ht="12.75">
      <c r="A24" s="29" t="s">
        <v>4</v>
      </c>
      <c r="B24" s="30">
        <f>29056.37+8462.7+914.25+243</f>
        <v>38676.32</v>
      </c>
      <c r="C24" s="30">
        <f>12408.05+3699+397.5</f>
        <v>16504.55</v>
      </c>
      <c r="D24" s="30">
        <v>0</v>
      </c>
      <c r="E24" s="30">
        <f t="shared" si="0"/>
        <v>55180.869999999995</v>
      </c>
      <c r="F24" s="31">
        <f t="shared" si="1"/>
        <v>2809.179</v>
      </c>
      <c r="G24" s="31">
        <f t="shared" si="2"/>
        <v>5337.4401</v>
      </c>
      <c r="H24" s="32">
        <f t="shared" si="3"/>
        <v>4994.0960000000005</v>
      </c>
      <c r="I24" s="31">
        <v>0</v>
      </c>
      <c r="J24" s="31">
        <f t="shared" si="4"/>
        <v>4525.8994999999995</v>
      </c>
      <c r="K24" s="31"/>
      <c r="L24" s="31"/>
      <c r="M24" s="31">
        <f t="shared" si="5"/>
        <v>6554.751</v>
      </c>
      <c r="N24" s="31">
        <v>2108</v>
      </c>
      <c r="O24" s="50">
        <f t="shared" si="6"/>
        <v>26329.3656</v>
      </c>
      <c r="P24" s="33">
        <v>18065</v>
      </c>
      <c r="Q24" s="33">
        <v>0</v>
      </c>
      <c r="R24" s="31">
        <f t="shared" si="7"/>
        <v>4681.965</v>
      </c>
      <c r="S24" s="34">
        <f t="shared" si="8"/>
        <v>49076.3306</v>
      </c>
      <c r="T24" s="4"/>
    </row>
    <row r="25" spans="1:20" ht="12.75">
      <c r="A25" s="29" t="s">
        <v>45</v>
      </c>
      <c r="B25" s="30">
        <f>21231.07+15725.3+1255.35+196.8</f>
        <v>38408.52</v>
      </c>
      <c r="C25" s="30">
        <f>9231.55+6503+504.5</f>
        <v>16239.05</v>
      </c>
      <c r="D25" s="30">
        <v>0</v>
      </c>
      <c r="E25" s="30">
        <f t="shared" si="0"/>
        <v>54647.56999999999</v>
      </c>
      <c r="F25" s="31">
        <f t="shared" si="1"/>
        <v>2809.179</v>
      </c>
      <c r="G25" s="31">
        <f t="shared" si="2"/>
        <v>5337.4401</v>
      </c>
      <c r="H25" s="32">
        <f t="shared" si="3"/>
        <v>4994.0960000000005</v>
      </c>
      <c r="I25" s="31">
        <v>0</v>
      </c>
      <c r="J25" s="31">
        <f t="shared" si="4"/>
        <v>4525.8994999999995</v>
      </c>
      <c r="K25" s="31"/>
      <c r="L25" s="31"/>
      <c r="M25" s="31">
        <f t="shared" si="5"/>
        <v>6554.751</v>
      </c>
      <c r="N25" s="31">
        <v>4636.81</v>
      </c>
      <c r="O25" s="50">
        <f t="shared" si="6"/>
        <v>28858.175600000002</v>
      </c>
      <c r="P25" s="33">
        <v>0</v>
      </c>
      <c r="Q25" s="33">
        <v>0</v>
      </c>
      <c r="R25" s="31">
        <f t="shared" si="7"/>
        <v>4681.965</v>
      </c>
      <c r="S25" s="34">
        <f t="shared" si="8"/>
        <v>33540.1406</v>
      </c>
      <c r="T25" s="4"/>
    </row>
    <row r="26" spans="1:19" ht="12.75">
      <c r="A26" s="29" t="s">
        <v>46</v>
      </c>
      <c r="B26" s="30">
        <f>21264.48+10821.5+1473.15</f>
        <v>33559.13</v>
      </c>
      <c r="C26" s="30">
        <f>9458.55+4705+640.5</f>
        <v>14804.05</v>
      </c>
      <c r="D26" s="30">
        <v>0</v>
      </c>
      <c r="E26" s="30">
        <f t="shared" si="0"/>
        <v>48363.17999999999</v>
      </c>
      <c r="F26" s="31">
        <f t="shared" si="1"/>
        <v>2809.179</v>
      </c>
      <c r="G26" s="31">
        <f t="shared" si="2"/>
        <v>5337.4401</v>
      </c>
      <c r="H26" s="32">
        <f t="shared" si="3"/>
        <v>4994.0960000000005</v>
      </c>
      <c r="I26" s="31">
        <v>900</v>
      </c>
      <c r="J26" s="31">
        <f t="shared" si="4"/>
        <v>4525.8994999999995</v>
      </c>
      <c r="K26" s="31"/>
      <c r="L26" s="31"/>
      <c r="M26" s="31">
        <f t="shared" si="5"/>
        <v>6554.751</v>
      </c>
      <c r="N26" s="31">
        <f>1500+1601.41</f>
        <v>3101.41</v>
      </c>
      <c r="O26" s="50">
        <f t="shared" si="6"/>
        <v>28222.7756</v>
      </c>
      <c r="P26" s="33">
        <v>1152</v>
      </c>
      <c r="Q26" s="33">
        <v>0</v>
      </c>
      <c r="R26" s="31">
        <f t="shared" si="7"/>
        <v>4681.965</v>
      </c>
      <c r="S26" s="34">
        <f t="shared" si="8"/>
        <v>34056.740600000005</v>
      </c>
    </row>
    <row r="27" spans="1:19" ht="12.75">
      <c r="A27" s="29" t="s">
        <v>47</v>
      </c>
      <c r="B27" s="30">
        <f>35498.86+9196.55+1814.25</f>
        <v>46509.66</v>
      </c>
      <c r="C27" s="30">
        <f>14392.2+3998.5+747.5</f>
        <v>19138.2</v>
      </c>
      <c r="D27" s="30">
        <v>0</v>
      </c>
      <c r="E27" s="30">
        <f t="shared" si="0"/>
        <v>65647.86</v>
      </c>
      <c r="F27" s="31">
        <f t="shared" si="1"/>
        <v>2809.179</v>
      </c>
      <c r="G27" s="31">
        <f t="shared" si="2"/>
        <v>5337.4401</v>
      </c>
      <c r="H27" s="32">
        <f t="shared" si="3"/>
        <v>4994.0960000000005</v>
      </c>
      <c r="I27" s="31">
        <v>1400</v>
      </c>
      <c r="J27" s="31">
        <f t="shared" si="4"/>
        <v>4525.8994999999995</v>
      </c>
      <c r="K27" s="31"/>
      <c r="L27" s="31"/>
      <c r="M27" s="31">
        <f t="shared" si="5"/>
        <v>6554.751</v>
      </c>
      <c r="N27" s="31">
        <v>0</v>
      </c>
      <c r="O27" s="50">
        <f t="shared" si="6"/>
        <v>25621.3656</v>
      </c>
      <c r="P27" s="33">
        <v>0</v>
      </c>
      <c r="Q27" s="33">
        <v>0</v>
      </c>
      <c r="R27" s="31">
        <f t="shared" si="7"/>
        <v>4681.965</v>
      </c>
      <c r="S27" s="34">
        <f t="shared" si="8"/>
        <v>30303.3306</v>
      </c>
    </row>
    <row r="28" spans="1:19" ht="12.75">
      <c r="A28" s="29" t="s">
        <v>48</v>
      </c>
      <c r="B28" s="30">
        <f>22688.8+8838.9+1814.25</f>
        <v>33341.95</v>
      </c>
      <c r="C28" s="30">
        <f>9865.05+3843+747.5</f>
        <v>14455.55</v>
      </c>
      <c r="D28" s="30">
        <v>0</v>
      </c>
      <c r="E28" s="30">
        <f t="shared" si="0"/>
        <v>47797.5</v>
      </c>
      <c r="F28" s="31">
        <f t="shared" si="1"/>
        <v>2809.179</v>
      </c>
      <c r="G28" s="31">
        <f t="shared" si="2"/>
        <v>5337.4401</v>
      </c>
      <c r="H28" s="32">
        <f t="shared" si="3"/>
        <v>4994.0960000000005</v>
      </c>
      <c r="I28" s="31">
        <v>1400</v>
      </c>
      <c r="J28" s="31">
        <f t="shared" si="4"/>
        <v>4525.8994999999995</v>
      </c>
      <c r="K28" s="31"/>
      <c r="L28" s="31"/>
      <c r="M28" s="31">
        <f t="shared" si="5"/>
        <v>6554.751</v>
      </c>
      <c r="N28" s="31">
        <v>0</v>
      </c>
      <c r="O28" s="50">
        <f t="shared" si="6"/>
        <v>25621.3656</v>
      </c>
      <c r="P28" s="33">
        <v>0</v>
      </c>
      <c r="Q28" s="33">
        <v>0</v>
      </c>
      <c r="R28" s="31">
        <f t="shared" si="7"/>
        <v>4681.965</v>
      </c>
      <c r="S28" s="34">
        <f t="shared" si="8"/>
        <v>30303.3306</v>
      </c>
    </row>
    <row r="29" spans="1:19" ht="24">
      <c r="A29" s="35" t="s">
        <v>49</v>
      </c>
      <c r="B29" s="30">
        <f>900+900+1800+1800</f>
        <v>5400</v>
      </c>
      <c r="C29" s="30">
        <v>0</v>
      </c>
      <c r="D29" s="30">
        <v>0</v>
      </c>
      <c r="E29" s="30">
        <f>B29+C29+D29</f>
        <v>5400</v>
      </c>
      <c r="F29" s="31"/>
      <c r="G29" s="31"/>
      <c r="H29" s="31"/>
      <c r="I29" s="31"/>
      <c r="J29" s="31"/>
      <c r="K29" s="31"/>
      <c r="L29" s="31"/>
      <c r="M29" s="31"/>
      <c r="N29" s="31"/>
      <c r="O29" s="50"/>
      <c r="P29" s="33"/>
      <c r="Q29" s="33"/>
      <c r="R29" s="31"/>
      <c r="S29" s="34"/>
    </row>
    <row r="30" spans="1:19" ht="12.75">
      <c r="A30" s="51" t="s">
        <v>11</v>
      </c>
      <c r="B30" s="36">
        <f>SUM(B17:B29)</f>
        <v>387955.29</v>
      </c>
      <c r="C30" s="36">
        <f>SUM(C17:C29)</f>
        <v>176506.55000000002</v>
      </c>
      <c r="D30" s="36">
        <f>SUM(D17:D29)</f>
        <v>0</v>
      </c>
      <c r="E30" s="36">
        <f>SUM(E16:E29)</f>
        <v>448499.29</v>
      </c>
      <c r="F30" s="36">
        <f>SUM(F17:F29)</f>
        <v>33710.148</v>
      </c>
      <c r="G30" s="36">
        <f>SUM(G17:G29)</f>
        <v>64049.2812</v>
      </c>
      <c r="H30" s="36">
        <f>SUM(H17:H29)</f>
        <v>59929.151999999995</v>
      </c>
      <c r="I30" s="36">
        <f>SUM(I17:I29)</f>
        <v>8600</v>
      </c>
      <c r="J30" s="36">
        <f>SUM(J17:J29)</f>
        <v>54310.793999999994</v>
      </c>
      <c r="K30" s="36"/>
      <c r="L30" s="36"/>
      <c r="M30" s="36">
        <f aca="true" t="shared" si="9" ref="M30:S30">SUM(M17:M29)</f>
        <v>78657.01200000003</v>
      </c>
      <c r="N30" s="36">
        <f t="shared" si="9"/>
        <v>16770.22</v>
      </c>
      <c r="O30" s="36">
        <f t="shared" si="9"/>
        <v>316026.6072</v>
      </c>
      <c r="P30" s="36">
        <f t="shared" si="9"/>
        <v>22099</v>
      </c>
      <c r="Q30" s="36">
        <f t="shared" si="9"/>
        <v>0</v>
      </c>
      <c r="R30" s="36">
        <f t="shared" si="9"/>
        <v>56183.57999999999</v>
      </c>
      <c r="S30" s="37">
        <f t="shared" si="9"/>
        <v>394309.1871999999</v>
      </c>
    </row>
    <row r="31" spans="1:19" ht="12.7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8" t="s">
        <v>14</v>
      </c>
      <c r="R31" s="62">
        <f>E30-S30</f>
        <v>54190.10280000005</v>
      </c>
      <c r="S31" s="62"/>
    </row>
    <row r="32" spans="1:19" ht="12.75">
      <c r="A32" s="45"/>
      <c r="B32" s="46" t="s">
        <v>8</v>
      </c>
      <c r="C32" s="56">
        <v>3000</v>
      </c>
      <c r="D32" s="46" t="s">
        <v>69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7"/>
    </row>
    <row r="33" spans="1:19" ht="12.75">
      <c r="A33" s="45"/>
      <c r="B33" s="46" t="s">
        <v>0</v>
      </c>
      <c r="C33" s="56">
        <v>1816</v>
      </c>
      <c r="D33" s="46" t="s">
        <v>70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7"/>
    </row>
    <row r="34" spans="1:19" ht="12.75">
      <c r="A34" s="45"/>
      <c r="B34" s="46" t="s">
        <v>1</v>
      </c>
      <c r="C34" s="56">
        <v>2108</v>
      </c>
      <c r="D34" s="46" t="s">
        <v>71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</row>
    <row r="35" spans="1:19" ht="12.75">
      <c r="A35" s="45"/>
      <c r="B35" s="46" t="s">
        <v>4</v>
      </c>
      <c r="C35" s="56">
        <v>2108</v>
      </c>
      <c r="D35" s="46" t="s">
        <v>72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</row>
    <row r="36" spans="1:19" ht="12.75">
      <c r="A36" s="45"/>
      <c r="B36" s="46" t="s">
        <v>5</v>
      </c>
      <c r="C36" s="56">
        <v>4636.81</v>
      </c>
      <c r="D36" s="46" t="s">
        <v>73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</row>
    <row r="37" spans="1:19" ht="12.75">
      <c r="A37" s="45"/>
      <c r="B37" s="46" t="s">
        <v>6</v>
      </c>
      <c r="C37" s="56">
        <v>1500</v>
      </c>
      <c r="D37" s="46" t="s">
        <v>74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</row>
    <row r="38" spans="1:19" ht="12.75">
      <c r="A38" s="45"/>
      <c r="B38" s="46"/>
      <c r="C38" s="56">
        <v>1601.41</v>
      </c>
      <c r="D38" s="46" t="s">
        <v>75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</row>
    <row r="39" spans="1:19" ht="12.75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</row>
    <row r="41" spans="1:19" ht="15">
      <c r="A41" s="98" t="s">
        <v>50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1:19" ht="12.75">
      <c r="A42" s="99" t="s">
        <v>51</v>
      </c>
      <c r="B42" s="99"/>
      <c r="C42" s="100" t="s">
        <v>12</v>
      </c>
      <c r="D42" s="100"/>
      <c r="E42" s="100"/>
      <c r="F42" s="100"/>
      <c r="G42" s="100"/>
      <c r="H42" s="100"/>
      <c r="I42" s="100"/>
      <c r="J42" s="100"/>
      <c r="K42" s="100"/>
      <c r="L42" s="101" t="s">
        <v>52</v>
      </c>
      <c r="M42" s="102"/>
      <c r="N42" s="103"/>
      <c r="O42" s="99" t="s">
        <v>53</v>
      </c>
      <c r="P42" s="71"/>
      <c r="Q42" s="99" t="s">
        <v>54</v>
      </c>
      <c r="R42" s="99"/>
      <c r="S42" s="71" t="s">
        <v>55</v>
      </c>
    </row>
    <row r="43" spans="1:19" ht="12.75">
      <c r="A43" s="99"/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4"/>
      <c r="M43" s="105"/>
      <c r="N43" s="106"/>
      <c r="O43" s="99"/>
      <c r="P43" s="72"/>
      <c r="Q43" s="99"/>
      <c r="R43" s="99"/>
      <c r="S43" s="72"/>
    </row>
    <row r="44" spans="1:19" ht="12.75">
      <c r="A44" s="83"/>
      <c r="B44" s="84"/>
      <c r="C44" s="85" t="s">
        <v>56</v>
      </c>
      <c r="D44" s="86"/>
      <c r="E44" s="86"/>
      <c r="F44" s="86"/>
      <c r="G44" s="86"/>
      <c r="H44" s="86"/>
      <c r="I44" s="86"/>
      <c r="J44" s="86"/>
      <c r="K44" s="87"/>
      <c r="L44" s="88"/>
      <c r="M44" s="89"/>
      <c r="N44" s="90"/>
      <c r="O44" s="5"/>
      <c r="P44" s="5"/>
      <c r="Q44" s="60"/>
      <c r="R44" s="60"/>
      <c r="S44" s="5"/>
    </row>
    <row r="45" spans="1:19" ht="12.75">
      <c r="A45" s="83"/>
      <c r="B45" s="84"/>
      <c r="C45" s="85" t="s">
        <v>57</v>
      </c>
      <c r="D45" s="86"/>
      <c r="E45" s="86"/>
      <c r="F45" s="86"/>
      <c r="G45" s="86"/>
      <c r="H45" s="86"/>
      <c r="I45" s="86"/>
      <c r="J45" s="86"/>
      <c r="K45" s="87"/>
      <c r="L45" s="64" t="s">
        <v>58</v>
      </c>
      <c r="M45" s="65"/>
      <c r="N45" s="66"/>
      <c r="O45" s="38">
        <v>0.05</v>
      </c>
      <c r="P45" s="39"/>
      <c r="Q45" s="61">
        <f>SUM(O45*2487*12)</f>
        <v>1492.2</v>
      </c>
      <c r="R45" s="61"/>
      <c r="S45" s="38"/>
    </row>
    <row r="46" spans="1:19" ht="12.75">
      <c r="A46" s="83"/>
      <c r="B46" s="84"/>
      <c r="C46" s="85" t="s">
        <v>59</v>
      </c>
      <c r="D46" s="86"/>
      <c r="E46" s="86"/>
      <c r="F46" s="86"/>
      <c r="G46" s="86"/>
      <c r="H46" s="86"/>
      <c r="I46" s="86"/>
      <c r="J46" s="86"/>
      <c r="K46" s="87"/>
      <c r="L46" s="64" t="s">
        <v>58</v>
      </c>
      <c r="M46" s="65"/>
      <c r="N46" s="66"/>
      <c r="O46" s="38">
        <v>0.05</v>
      </c>
      <c r="P46" s="39"/>
      <c r="Q46" s="61">
        <f aca="true" t="shared" si="10" ref="Q46:Q52">SUM(O46*2487*12)</f>
        <v>1492.2</v>
      </c>
      <c r="R46" s="61"/>
      <c r="S46" s="38"/>
    </row>
    <row r="47" spans="1:19" ht="12.75">
      <c r="A47" s="83"/>
      <c r="B47" s="84"/>
      <c r="C47" s="85" t="s">
        <v>60</v>
      </c>
      <c r="D47" s="86"/>
      <c r="E47" s="86"/>
      <c r="F47" s="86"/>
      <c r="G47" s="86"/>
      <c r="H47" s="86"/>
      <c r="I47" s="86"/>
      <c r="J47" s="86"/>
      <c r="K47" s="87"/>
      <c r="L47" s="64" t="s">
        <v>61</v>
      </c>
      <c r="M47" s="65"/>
      <c r="N47" s="66"/>
      <c r="O47" s="38">
        <v>0.15</v>
      </c>
      <c r="P47" s="39"/>
      <c r="Q47" s="61">
        <f t="shared" si="10"/>
        <v>4476.6</v>
      </c>
      <c r="R47" s="61"/>
      <c r="S47" s="38"/>
    </row>
    <row r="48" spans="1:19" ht="12.75">
      <c r="A48" s="73"/>
      <c r="B48" s="59"/>
      <c r="C48" s="80" t="s">
        <v>62</v>
      </c>
      <c r="D48" s="81"/>
      <c r="E48" s="81"/>
      <c r="F48" s="81"/>
      <c r="G48" s="81"/>
      <c r="H48" s="81"/>
      <c r="I48" s="81"/>
      <c r="J48" s="81"/>
      <c r="K48" s="82"/>
      <c r="L48" s="64" t="s">
        <v>58</v>
      </c>
      <c r="M48" s="65"/>
      <c r="N48" s="66"/>
      <c r="O48" s="1">
        <v>0.15</v>
      </c>
      <c r="P48" s="1"/>
      <c r="Q48" s="61">
        <f t="shared" si="10"/>
        <v>4476.6</v>
      </c>
      <c r="R48" s="61"/>
      <c r="S48" s="1"/>
    </row>
    <row r="49" spans="1:19" ht="12.75">
      <c r="A49" s="61"/>
      <c r="B49" s="61"/>
      <c r="C49" s="74" t="s">
        <v>63</v>
      </c>
      <c r="D49" s="75"/>
      <c r="E49" s="75"/>
      <c r="F49" s="75"/>
      <c r="G49" s="75"/>
      <c r="H49" s="75"/>
      <c r="I49" s="75"/>
      <c r="J49" s="75"/>
      <c r="K49" s="76"/>
      <c r="L49" s="77" t="s">
        <v>64</v>
      </c>
      <c r="M49" s="78"/>
      <c r="N49" s="79"/>
      <c r="O49" s="1">
        <v>0.25</v>
      </c>
      <c r="P49" s="1"/>
      <c r="Q49" s="61">
        <f t="shared" si="10"/>
        <v>7461</v>
      </c>
      <c r="R49" s="61"/>
      <c r="S49" s="1"/>
    </row>
    <row r="50" spans="1:19" ht="12.75">
      <c r="A50" s="73"/>
      <c r="B50" s="59"/>
      <c r="C50" s="74" t="s">
        <v>65</v>
      </c>
      <c r="D50" s="75"/>
      <c r="E50" s="75"/>
      <c r="F50" s="75"/>
      <c r="G50" s="75"/>
      <c r="H50" s="75"/>
      <c r="I50" s="75"/>
      <c r="J50" s="75"/>
      <c r="K50" s="76"/>
      <c r="L50" s="77" t="s">
        <v>64</v>
      </c>
      <c r="M50" s="78"/>
      <c r="N50" s="79"/>
      <c r="O50" s="1">
        <v>0.1</v>
      </c>
      <c r="P50" s="40"/>
      <c r="Q50" s="61">
        <f t="shared" si="10"/>
        <v>2984.4</v>
      </c>
      <c r="R50" s="61"/>
      <c r="S50" s="1"/>
    </row>
    <row r="51" spans="1:19" ht="12.75">
      <c r="A51" s="61"/>
      <c r="B51" s="61"/>
      <c r="C51" s="80" t="s">
        <v>66</v>
      </c>
      <c r="D51" s="81"/>
      <c r="E51" s="81"/>
      <c r="F51" s="81"/>
      <c r="G51" s="81"/>
      <c r="H51" s="81"/>
      <c r="I51" s="81"/>
      <c r="J51" s="81"/>
      <c r="K51" s="82"/>
      <c r="L51" s="77" t="s">
        <v>64</v>
      </c>
      <c r="M51" s="78"/>
      <c r="N51" s="79"/>
      <c r="O51" s="1">
        <v>0.25</v>
      </c>
      <c r="P51" s="1"/>
      <c r="Q51" s="61">
        <f t="shared" si="10"/>
        <v>7461</v>
      </c>
      <c r="R51" s="61"/>
      <c r="S51" s="1"/>
    </row>
    <row r="52" spans="1:19" ht="12.75">
      <c r="A52" s="41"/>
      <c r="B52" s="6"/>
      <c r="C52" s="63" t="s">
        <v>67</v>
      </c>
      <c r="D52" s="63"/>
      <c r="E52" s="63"/>
      <c r="F52" s="63"/>
      <c r="G52" s="63"/>
      <c r="H52" s="63"/>
      <c r="I52" s="63"/>
      <c r="J52" s="63"/>
      <c r="K52" s="63"/>
      <c r="L52" s="64" t="s">
        <v>58</v>
      </c>
      <c r="M52" s="65"/>
      <c r="N52" s="66"/>
      <c r="O52" s="3">
        <v>1</v>
      </c>
      <c r="P52" s="42"/>
      <c r="Q52" s="61">
        <f t="shared" si="10"/>
        <v>29844</v>
      </c>
      <c r="R52" s="61"/>
      <c r="S52" s="1"/>
    </row>
    <row r="53" spans="5:19" ht="12.75">
      <c r="E53" s="67" t="s">
        <v>15</v>
      </c>
      <c r="F53" s="68"/>
      <c r="G53" s="68"/>
      <c r="H53" s="68"/>
      <c r="I53" s="68"/>
      <c r="J53" s="68"/>
      <c r="K53" s="68"/>
      <c r="L53" s="68"/>
      <c r="M53" s="68"/>
      <c r="N53" s="69"/>
      <c r="O53" s="43">
        <f>SUM(O45:O52)</f>
        <v>2</v>
      </c>
      <c r="P53" s="44"/>
      <c r="Q53" s="70">
        <f>SUM(Q45:Q52)</f>
        <v>59688</v>
      </c>
      <c r="R53" s="70"/>
      <c r="S53" s="1"/>
    </row>
  </sheetData>
  <sheetProtection/>
  <mergeCells count="77">
    <mergeCell ref="A5:S5"/>
    <mergeCell ref="A6:S6"/>
    <mergeCell ref="A7:E7"/>
    <mergeCell ref="F7:R7"/>
    <mergeCell ref="B8:E8"/>
    <mergeCell ref="F8:O8"/>
    <mergeCell ref="P8:Q9"/>
    <mergeCell ref="R8:R10"/>
    <mergeCell ref="S8:S10"/>
    <mergeCell ref="B9:B10"/>
    <mergeCell ref="M9:M10"/>
    <mergeCell ref="N9:N10"/>
    <mergeCell ref="C9:C10"/>
    <mergeCell ref="D9:D10"/>
    <mergeCell ref="E9:E10"/>
    <mergeCell ref="F9:F10"/>
    <mergeCell ref="G9:G10"/>
    <mergeCell ref="H9:H10"/>
    <mergeCell ref="O9:O10"/>
    <mergeCell ref="P11:Q11"/>
    <mergeCell ref="A13:D13"/>
    <mergeCell ref="F13:N13"/>
    <mergeCell ref="P13:Q13"/>
    <mergeCell ref="A14:E14"/>
    <mergeCell ref="I9:I10"/>
    <mergeCell ref="J9:J10"/>
    <mergeCell ref="K9:K10"/>
    <mergeCell ref="L9:L10"/>
    <mergeCell ref="A15:E15"/>
    <mergeCell ref="F15:S15"/>
    <mergeCell ref="A16:D16"/>
    <mergeCell ref="A41:S41"/>
    <mergeCell ref="A42:B43"/>
    <mergeCell ref="C42:K43"/>
    <mergeCell ref="L42:N43"/>
    <mergeCell ref="O42:O43"/>
    <mergeCell ref="P42:P43"/>
    <mergeCell ref="Q42:R43"/>
    <mergeCell ref="A44:B44"/>
    <mergeCell ref="C44:K44"/>
    <mergeCell ref="L44:N44"/>
    <mergeCell ref="Q44:R44"/>
    <mergeCell ref="A45:B45"/>
    <mergeCell ref="C45:K45"/>
    <mergeCell ref="L45:N45"/>
    <mergeCell ref="Q45:R45"/>
    <mergeCell ref="A46:B46"/>
    <mergeCell ref="C46:K46"/>
    <mergeCell ref="L46:N46"/>
    <mergeCell ref="Q46:R46"/>
    <mergeCell ref="A47:B47"/>
    <mergeCell ref="C47:K47"/>
    <mergeCell ref="L47:N47"/>
    <mergeCell ref="Q47:R47"/>
    <mergeCell ref="A48:B48"/>
    <mergeCell ref="C48:K48"/>
    <mergeCell ref="L48:N48"/>
    <mergeCell ref="Q48:R48"/>
    <mergeCell ref="A49:B49"/>
    <mergeCell ref="C49:K49"/>
    <mergeCell ref="L49:N49"/>
    <mergeCell ref="Q49:R49"/>
    <mergeCell ref="A50:B50"/>
    <mergeCell ref="C50:K50"/>
    <mergeCell ref="L50:N50"/>
    <mergeCell ref="Q50:R50"/>
    <mergeCell ref="A51:B51"/>
    <mergeCell ref="C51:K51"/>
    <mergeCell ref="L51:N51"/>
    <mergeCell ref="Q51:R51"/>
    <mergeCell ref="R31:S31"/>
    <mergeCell ref="C52:K52"/>
    <mergeCell ref="L52:N52"/>
    <mergeCell ref="Q52:R52"/>
    <mergeCell ref="E53:N53"/>
    <mergeCell ref="Q53:R53"/>
    <mergeCell ref="S42:S43"/>
  </mergeCells>
  <printOptions/>
  <pageMargins left="0.11458333333333333" right="0.010416666666666666" top="0.10416666666666667" bottom="0.20833333333333334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2017-02-03T10:37:03Z</cp:lastPrinted>
  <dcterms:created xsi:type="dcterms:W3CDTF">2007-02-04T12:22:59Z</dcterms:created>
  <dcterms:modified xsi:type="dcterms:W3CDTF">2017-02-06T09:59:10Z</dcterms:modified>
  <cp:category/>
  <cp:version/>
  <cp:contentType/>
  <cp:contentStatus/>
</cp:coreProperties>
</file>