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60" windowWidth="19320" windowHeight="9030"/>
  </bookViews>
  <sheets>
    <sheet name="2016" sheetId="5" r:id="rId1"/>
  </sheets>
  <definedNames>
    <definedName name="_xlnm.Print_Area" localSheetId="0">'2016'!$A$31:$S$41</definedName>
  </definedNames>
  <calcPr calcId="145621"/>
</workbook>
</file>

<file path=xl/calcChain.xml><?xml version="1.0" encoding="utf-8"?>
<calcChain xmlns="http://schemas.openxmlformats.org/spreadsheetml/2006/main">
  <c r="B27" i="5" l="1"/>
  <c r="C27" i="5"/>
  <c r="E27" i="5"/>
  <c r="F27" i="5"/>
  <c r="G27" i="5"/>
  <c r="H27" i="5"/>
  <c r="J27" i="5"/>
  <c r="M27" i="5"/>
  <c r="O27" i="5"/>
  <c r="S27" i="5" s="1"/>
  <c r="R29" i="5" l="1"/>
  <c r="Q29" i="5"/>
  <c r="I29" i="5"/>
  <c r="B28" i="5"/>
  <c r="B26" i="5" l="1"/>
  <c r="C26" i="5"/>
  <c r="F26" i="5"/>
  <c r="G26" i="5"/>
  <c r="H26" i="5"/>
  <c r="J26" i="5"/>
  <c r="M26" i="5"/>
  <c r="E26" i="5" l="1"/>
  <c r="O26" i="5"/>
  <c r="S26" i="5" s="1"/>
  <c r="N25" i="5"/>
  <c r="B25" i="5" l="1"/>
  <c r="C25" i="5"/>
  <c r="F25" i="5"/>
  <c r="G25" i="5"/>
  <c r="H25" i="5"/>
  <c r="J25" i="5"/>
  <c r="M25" i="5"/>
  <c r="O25" i="5" l="1"/>
  <c r="S25" i="5" s="1"/>
  <c r="E25" i="5"/>
  <c r="B24" i="5"/>
  <c r="C24" i="5"/>
  <c r="F24" i="5"/>
  <c r="G24" i="5"/>
  <c r="H24" i="5"/>
  <c r="J24" i="5"/>
  <c r="M24" i="5"/>
  <c r="E24" i="5" l="1"/>
  <c r="O24" i="5"/>
  <c r="S24" i="5" s="1"/>
  <c r="J13" i="5"/>
  <c r="J17" i="5"/>
  <c r="J18" i="5"/>
  <c r="J19" i="5"/>
  <c r="J20" i="5"/>
  <c r="J21" i="5"/>
  <c r="J22" i="5"/>
  <c r="J23" i="5"/>
  <c r="J16" i="5"/>
  <c r="G17" i="5"/>
  <c r="G18" i="5"/>
  <c r="G19" i="5"/>
  <c r="G20" i="5"/>
  <c r="G21" i="5"/>
  <c r="G22" i="5"/>
  <c r="G23" i="5"/>
  <c r="G16" i="5"/>
  <c r="J29" i="5" l="1"/>
  <c r="G29" i="5"/>
  <c r="N23" i="5"/>
  <c r="P23" i="5" l="1"/>
  <c r="P29" i="5" s="1"/>
  <c r="B23" i="5" l="1"/>
  <c r="C23" i="5"/>
  <c r="F23" i="5"/>
  <c r="H23" i="5"/>
  <c r="M23" i="5"/>
  <c r="E23" i="5" l="1"/>
  <c r="O23" i="5"/>
  <c r="S23" i="5" s="1"/>
  <c r="B22" i="5"/>
  <c r="C22" i="5"/>
  <c r="F22" i="5"/>
  <c r="H22" i="5"/>
  <c r="M22" i="5"/>
  <c r="E22" i="5" l="1"/>
  <c r="O22" i="5"/>
  <c r="S22" i="5" s="1"/>
  <c r="N20" i="5"/>
  <c r="N29" i="5" s="1"/>
  <c r="B21" i="5" l="1"/>
  <c r="C21" i="5"/>
  <c r="F21" i="5"/>
  <c r="H21" i="5"/>
  <c r="M21" i="5"/>
  <c r="E21" i="5" l="1"/>
  <c r="O21" i="5"/>
  <c r="S21" i="5" s="1"/>
  <c r="B20" i="5" l="1"/>
  <c r="C20" i="5"/>
  <c r="F20" i="5"/>
  <c r="H20" i="5"/>
  <c r="M20" i="5"/>
  <c r="E20" i="5" l="1"/>
  <c r="O20" i="5"/>
  <c r="S20" i="5" s="1"/>
  <c r="M19" i="5"/>
  <c r="H19" i="5"/>
  <c r="F19" i="5"/>
  <c r="C19" i="5"/>
  <c r="B19" i="5"/>
  <c r="E19" i="5" l="1"/>
  <c r="O19" i="5"/>
  <c r="S19" i="5" s="1"/>
  <c r="Q13" i="5"/>
  <c r="P13" i="5"/>
  <c r="N13" i="5"/>
  <c r="M13" i="5"/>
  <c r="L13" i="5"/>
  <c r="I13" i="5"/>
  <c r="H13" i="5"/>
  <c r="G13" i="5"/>
  <c r="F13" i="5"/>
  <c r="M17" i="5"/>
  <c r="M18" i="5"/>
  <c r="M16" i="5"/>
  <c r="F17" i="5"/>
  <c r="F18" i="5"/>
  <c r="F16" i="5"/>
  <c r="F29" i="5" l="1"/>
  <c r="M29" i="5"/>
  <c r="O13" i="5"/>
  <c r="S13" i="5" s="1"/>
  <c r="H17" i="5" l="1"/>
  <c r="O17" i="5" s="1"/>
  <c r="S17" i="5" s="1"/>
  <c r="H18" i="5"/>
  <c r="O18" i="5" s="1"/>
  <c r="S18" i="5" s="1"/>
  <c r="H16" i="5"/>
  <c r="C18" i="5"/>
  <c r="B18" i="5"/>
  <c r="C17" i="5"/>
  <c r="B17" i="5"/>
  <c r="C16" i="5"/>
  <c r="C29" i="5" s="1"/>
  <c r="B16" i="5"/>
  <c r="E28" i="5"/>
  <c r="O10" i="5"/>
  <c r="S10" i="5" s="1"/>
  <c r="E10" i="5"/>
  <c r="H29" i="5" l="1"/>
  <c r="B29" i="5"/>
  <c r="O16" i="5"/>
  <c r="O29" i="5" s="1"/>
  <c r="E17" i="5"/>
  <c r="E18" i="5"/>
  <c r="E16" i="5"/>
  <c r="O55" i="5"/>
  <c r="Q54" i="5"/>
  <c r="Q53" i="5"/>
  <c r="Q52" i="5"/>
  <c r="Q51" i="5"/>
  <c r="Q50" i="5"/>
  <c r="Q49" i="5"/>
  <c r="Q48" i="5"/>
  <c r="Q47" i="5"/>
  <c r="O11" i="5"/>
  <c r="S11" i="5" s="1"/>
  <c r="E11" i="5"/>
  <c r="E29" i="5" l="1"/>
  <c r="S16" i="5"/>
  <c r="S29" i="5" s="1"/>
  <c r="Q55" i="5"/>
  <c r="R30" i="5" l="1"/>
</calcChain>
</file>

<file path=xl/comments1.xml><?xml version="1.0" encoding="utf-8"?>
<comments xmlns="http://schemas.openxmlformats.org/spreadsheetml/2006/main">
  <authors>
    <author>User</author>
  </authors>
  <commentList>
    <comment ref="N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3811,07р-(2968,97р-процент за пользование чужими средствами, 842,10р-расчет по эл.энергии)
Выкашивание газонов-2508р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покос-2508р
1000р-ремонт лавочки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3794р-дезинсекция</t>
        </r>
      </text>
    </comment>
    <comment ref="N2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6000р-работа автовышки 3часа
8000р-автовышка 4часа
1614,52р-тех.обслуживание ОДГО</t>
        </r>
      </text>
    </comment>
    <comment ref="B2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с июля+1</t>
        </r>
      </text>
    </comment>
  </commentList>
</comments>
</file>

<file path=xl/sharedStrings.xml><?xml version="1.0" encoding="utf-8"?>
<sst xmlns="http://schemas.openxmlformats.org/spreadsheetml/2006/main" count="84" uniqueCount="75">
  <si>
    <t>Содержание</t>
  </si>
  <si>
    <t>ремонт</t>
  </si>
  <si>
    <t>итого</t>
  </si>
  <si>
    <t>Наименование работ</t>
  </si>
  <si>
    <t>ИТОГО</t>
  </si>
  <si>
    <t>март</t>
  </si>
  <si>
    <t>май</t>
  </si>
  <si>
    <t>июль</t>
  </si>
  <si>
    <t>август</t>
  </si>
  <si>
    <t>сентябрь</t>
  </si>
  <si>
    <t>октябрь</t>
  </si>
  <si>
    <t>июнь</t>
  </si>
  <si>
    <t>дезинсекция</t>
  </si>
  <si>
    <t>ремонт лавочки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</si>
  <si>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</si>
  <si>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</si>
  <si>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</si>
  <si>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</si>
  <si>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</si>
  <si>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</si>
  <si>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</si>
  <si>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</si>
  <si>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</si>
  <si>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</si>
  <si>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</si>
  <si>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</si>
  <si>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</si>
  <si>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</si>
  <si>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r>
      <rPr>
        <b/>
        <sz val="8"/>
        <rFont val="Arial Cyr"/>
        <charset val="204"/>
      </rPr>
      <t>СОДЕРЖАНИ</t>
    </r>
    <r>
      <rPr>
        <sz val="8"/>
        <rFont val="Arial Cyr"/>
        <charset val="204"/>
      </rPr>
      <t>Е,    всего</t>
    </r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</si>
  <si>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</si>
  <si>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</si>
  <si>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</si>
  <si>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</si>
  <si>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</si>
  <si>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</si>
  <si>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</si>
  <si>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</si>
  <si>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</si>
  <si>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</si>
  <si>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</si>
  <si>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</si>
  <si>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</si>
  <si>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</si>
  <si>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</si>
  <si>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</si>
  <si>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</si>
  <si>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</si>
  <si>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</si>
  <si>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</si>
  <si>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</si>
  <si>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</si>
  <si>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</si>
  <si>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</si>
  <si>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</si>
  <si>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</si>
  <si>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по мере необходимости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</si>
  <si>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</si>
  <si>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</si>
  <si>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</si>
  <si>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</si>
  <si>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</si>
  <si>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</si>
  <si>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</si>
  <si>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</si>
  <si>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Непредвиденные расходы</t>
  </si>
  <si>
    <t>Итого</t>
  </si>
  <si>
    <t>Информация о доходах и расходах по дому __Калинина 148/1__на 2016год.</t>
  </si>
  <si>
    <t>ИТОГО:</t>
  </si>
  <si>
    <t>работы по содержанию помещений, входящих в состав общего имущества</t>
  </si>
  <si>
    <t>процент за пользование чужими средствами</t>
  </si>
  <si>
    <t>расчет по эл.энергии</t>
  </si>
  <si>
    <t>покос</t>
  </si>
  <si>
    <t>тех.обслуживание ОДГО</t>
  </si>
  <si>
    <t>работа автовышки 3часа</t>
  </si>
  <si>
    <t>работа автовышки 4часа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</si>
</sst>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6" formatCode="#,##0&quot;р.&quot;"/>
    <numFmt numFmtId="167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2" fontId="0" fillId="0" borderId="3" xfId="0" applyNumberFormat="1" applyBorder="1"/>
    <xf numFmtId="0" fontId="0" fillId="0" borderId="3" xfId="0" applyBorder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11" fillId="7" borderId="12" xfId="0" applyNumberFormat="1" applyFont="1" applyFill="1" applyBorder="1" applyAlignment="1"/>
    <xf numFmtId="2" fontId="2" fillId="0" borderId="1" xfId="0" applyNumberFormat="1" applyFont="1" applyBorder="1" applyAlignment="1">
      <alignment horizontal="left" vertical="top" textRotation="90" wrapText="1"/>
    </xf>
    <xf numFmtId="0" fontId="13" fillId="7" borderId="3" xfId="0" applyNumberFormat="1" applyFont="1" applyFill="1" applyBorder="1" applyAlignment="1"/>
    <xf numFmtId="2" fontId="9" fillId="0" borderId="5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left" wrapText="1"/>
    </xf>
    <xf numFmtId="0" fontId="14" fillId="0" borderId="5" xfId="0" applyFont="1" applyBorder="1" applyAlignment="1">
      <alignment horizontal="left"/>
    </xf>
    <xf numFmtId="2" fontId="11" fillId="0" borderId="5" xfId="0" applyNumberFormat="1" applyFont="1" applyBorder="1" applyAlignment="1">
      <alignment horizontal="left" wrapText="1"/>
    </xf>
    <xf numFmtId="2" fontId="12" fillId="0" borderId="5" xfId="0" applyNumberFormat="1" applyFont="1" applyBorder="1" applyAlignment="1">
      <alignment horizontal="center" wrapText="1"/>
    </xf>
    <xf numFmtId="0" fontId="13" fillId="7" borderId="3" xfId="0" applyNumberFormat="1" applyFont="1" applyFill="1" applyBorder="1" applyAlignment="1">
      <alignment wrapText="1"/>
    </xf>
    <xf numFmtId="2" fontId="9" fillId="0" borderId="5" xfId="0" applyNumberFormat="1" applyFont="1" applyBorder="1" applyAlignment="1">
      <alignment horizontal="center" vertical="top"/>
    </xf>
    <xf numFmtId="4" fontId="9" fillId="7" borderId="3" xfId="0" applyNumberFormat="1" applyFont="1" applyFill="1" applyBorder="1"/>
    <xf numFmtId="2" fontId="11" fillId="0" borderId="5" xfId="0" applyNumberFormat="1" applyFont="1" applyBorder="1" applyAlignment="1">
      <alignment horizontal="center" vertical="top" wrapText="1"/>
    </xf>
    <xf numFmtId="4" fontId="9" fillId="7" borderId="3" xfId="0" applyNumberFormat="1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 vertical="top" wrapText="1"/>
    </xf>
    <xf numFmtId="4" fontId="2" fillId="7" borderId="3" xfId="0" applyNumberFormat="1" applyFont="1" applyFill="1" applyBorder="1"/>
    <xf numFmtId="2" fontId="1" fillId="5" borderId="4" xfId="0" applyNumberFormat="1" applyFont="1" applyFill="1" applyBorder="1" applyAlignment="1">
      <alignment horizontal="center" vertical="top" wrapText="1"/>
    </xf>
    <xf numFmtId="2" fontId="2" fillId="5" borderId="6" xfId="0" applyNumberFormat="1" applyFont="1" applyFill="1" applyBorder="1" applyAlignment="1">
      <alignment horizontal="center" vertical="top" wrapText="1"/>
    </xf>
    <xf numFmtId="2" fontId="2" fillId="5" borderId="11" xfId="0" applyNumberFormat="1" applyFont="1" applyFill="1" applyBorder="1" applyAlignment="1">
      <alignment horizontal="center" vertical="top" wrapText="1"/>
    </xf>
    <xf numFmtId="2" fontId="2" fillId="5" borderId="7" xfId="0" applyNumberFormat="1" applyFont="1" applyFill="1" applyBorder="1" applyAlignment="1">
      <alignment horizontal="center" vertical="top" wrapText="1"/>
    </xf>
    <xf numFmtId="17" fontId="9" fillId="10" borderId="3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164" fontId="2" fillId="2" borderId="3" xfId="0" applyNumberFormat="1" applyFont="1" applyFill="1" applyBorder="1" applyAlignment="1"/>
    <xf numFmtId="164" fontId="2" fillId="5" borderId="3" xfId="0" applyNumberFormat="1" applyFont="1" applyFill="1" applyBorder="1"/>
    <xf numFmtId="164" fontId="2" fillId="5" borderId="5" xfId="0" applyNumberFormat="1" applyFont="1" applyFill="1" applyBorder="1"/>
    <xf numFmtId="164" fontId="2" fillId="8" borderId="3" xfId="0" applyNumberFormat="1" applyFont="1" applyFill="1" applyBorder="1"/>
    <xf numFmtId="4" fontId="2" fillId="5" borderId="3" xfId="0" applyNumberFormat="1" applyFont="1" applyFill="1" applyBorder="1"/>
    <xf numFmtId="17" fontId="9" fillId="3" borderId="3" xfId="0" applyNumberFormat="1" applyFont="1" applyFill="1" applyBorder="1" applyAlignment="1">
      <alignment horizontal="left" wrapText="1"/>
    </xf>
    <xf numFmtId="0" fontId="9" fillId="6" borderId="3" xfId="0" applyFont="1" applyFill="1" applyBorder="1"/>
    <xf numFmtId="164" fontId="2" fillId="6" borderId="3" xfId="0" applyNumberFormat="1" applyFont="1" applyFill="1" applyBorder="1"/>
    <xf numFmtId="4" fontId="11" fillId="6" borderId="3" xfId="0" applyNumberFormat="1" applyFont="1" applyFill="1" applyBorder="1"/>
    <xf numFmtId="0" fontId="0" fillId="11" borderId="3" xfId="0" applyFill="1" applyBorder="1"/>
    <xf numFmtId="0" fontId="0" fillId="7" borderId="3" xfId="0" applyFill="1" applyBorder="1"/>
    <xf numFmtId="0" fontId="0" fillId="7" borderId="4" xfId="0" applyFill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7" xfId="0" applyNumberFormat="1" applyBorder="1"/>
    <xf numFmtId="2" fontId="0" fillId="0" borderId="3" xfId="0" applyNumberFormat="1" applyBorder="1" applyAlignment="1">
      <alignment horizontal="center"/>
    </xf>
    <xf numFmtId="2" fontId="0" fillId="0" borderId="7" xfId="0" applyNumberFormat="1" applyBorder="1" applyAlignment="1"/>
    <xf numFmtId="164" fontId="2" fillId="4" borderId="3" xfId="0" applyNumberFormat="1" applyFont="1" applyFill="1" applyBorder="1"/>
    <xf numFmtId="0" fontId="16" fillId="0" borderId="5" xfId="0" applyFont="1" applyBorder="1" applyAlignment="1">
      <alignment horizontal="left"/>
    </xf>
    <xf numFmtId="0" fontId="9" fillId="0" borderId="0" xfId="0" applyFont="1" applyFill="1" applyBorder="1"/>
    <xf numFmtId="164" fontId="2" fillId="0" borderId="0" xfId="0" applyNumberFormat="1" applyFont="1" applyFill="1" applyBorder="1"/>
    <xf numFmtId="4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17" fillId="0" borderId="0" xfId="0" applyFont="1"/>
    <xf numFmtId="164" fontId="9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right" vertical="top" wrapText="1"/>
    </xf>
    <xf numFmtId="2" fontId="11" fillId="0" borderId="5" xfId="0" applyNumberFormat="1" applyFont="1" applyFill="1" applyBorder="1" applyAlignment="1">
      <alignment horizontal="right" vertical="top" wrapText="1"/>
    </xf>
    <xf numFmtId="2" fontId="11" fillId="0" borderId="3" xfId="0" applyNumberFormat="1" applyFont="1" applyFill="1" applyBorder="1" applyAlignment="1">
      <alignment vertical="top" wrapText="1"/>
    </xf>
    <xf numFmtId="2" fontId="11" fillId="0" borderId="5" xfId="0" applyNumberFormat="1" applyFont="1" applyFill="1" applyBorder="1" applyAlignment="1">
      <alignment horizontal="center" vertical="top" wrapText="1"/>
    </xf>
    <xf numFmtId="0" fontId="16" fillId="0" borderId="0" xfId="0" applyFont="1"/>
    <xf numFmtId="164" fontId="3" fillId="6" borderId="3" xfId="0" applyNumberFormat="1" applyFont="1" applyFill="1" applyBorder="1"/>
    <xf numFmtId="166" fontId="9" fillId="0" borderId="0" xfId="0" applyNumberFormat="1" applyFont="1" applyFill="1" applyBorder="1"/>
    <xf numFmtId="166" fontId="17" fillId="0" borderId="0" xfId="0" applyNumberFormat="1" applyFont="1"/>
    <xf numFmtId="167" fontId="16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left" wrapText="1"/>
    </xf>
    <xf numFmtId="2" fontId="11" fillId="0" borderId="10" xfId="0" applyNumberFormat="1" applyFont="1" applyBorder="1" applyAlignment="1">
      <alignment horizontal="left" wrapText="1"/>
    </xf>
    <xf numFmtId="2" fontId="11" fillId="0" borderId="13" xfId="0" applyNumberFormat="1" applyFont="1" applyBorder="1" applyAlignment="1">
      <alignment horizontal="left" wrapText="1"/>
    </xf>
    <xf numFmtId="2" fontId="11" fillId="0" borderId="14" xfId="0" applyNumberFormat="1" applyFont="1" applyBorder="1" applyAlignment="1">
      <alignment horizontal="left" wrapText="1"/>
    </xf>
    <xf numFmtId="2" fontId="11" fillId="0" borderId="1" xfId="0" applyNumberFormat="1" applyFont="1" applyBorder="1" applyAlignment="1">
      <alignment horizontal="left" textRotation="90" wrapText="1"/>
    </xf>
    <xf numFmtId="2" fontId="11" fillId="0" borderId="2" xfId="0" applyNumberFormat="1" applyFont="1" applyBorder="1" applyAlignment="1">
      <alignment horizontal="left" textRotation="90" wrapText="1"/>
    </xf>
    <xf numFmtId="2" fontId="11" fillId="0" borderId="5" xfId="0" applyNumberFormat="1" applyFont="1" applyBorder="1" applyAlignment="1">
      <alignment horizontal="left" textRotation="90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2" xfId="0" applyNumberFormat="1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textRotation="90" wrapText="1"/>
    </xf>
    <xf numFmtId="0" fontId="0" fillId="0" borderId="5" xfId="0" applyBorder="1" applyAlignment="1">
      <alignment horizontal="left"/>
    </xf>
    <xf numFmtId="0" fontId="1" fillId="8" borderId="4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0" fillId="0" borderId="5" xfId="0" applyBorder="1"/>
    <xf numFmtId="2" fontId="11" fillId="0" borderId="4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2" fontId="1" fillId="5" borderId="4" xfId="0" applyNumberFormat="1" applyFont="1" applyFill="1" applyBorder="1" applyAlignment="1">
      <alignment horizontal="center" vertical="top" wrapText="1"/>
    </xf>
    <xf numFmtId="2" fontId="2" fillId="5" borderId="6" xfId="0" applyNumberFormat="1" applyFont="1" applyFill="1" applyBorder="1" applyAlignment="1">
      <alignment horizontal="center" vertical="top" wrapText="1"/>
    </xf>
    <xf numFmtId="2" fontId="2" fillId="5" borderId="7" xfId="0" applyNumberFormat="1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11" borderId="4" xfId="0" applyFill="1" applyBorder="1" applyAlignment="1">
      <alignment horizontal="left" wrapText="1"/>
    </xf>
    <xf numFmtId="0" fontId="0" fillId="11" borderId="6" xfId="0" applyFill="1" applyBorder="1" applyAlignment="1">
      <alignment horizontal="left" wrapText="1"/>
    </xf>
    <xf numFmtId="0" fontId="0" fillId="11" borderId="7" xfId="0" applyFill="1" applyBorder="1" applyAlignment="1">
      <alignment horizontal="left" wrapText="1"/>
    </xf>
    <xf numFmtId="0" fontId="0" fillId="11" borderId="4" xfId="0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0" fontId="0" fillId="11" borderId="3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2" fontId="0" fillId="0" borderId="3" xfId="0" applyNumberFormat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S55"/>
  <sheetViews>
    <sheetView tabSelected="1" topLeftCell="A4" zoomScaleNormal="100" workbookViewId="0">
      <selection activeCell="H33" sqref="H33"/>
    </sheetView>
  </sheetViews>
  <sheetFormatPr defaultRowHeight="15" x14ac:dyDescent="0.25"/>
  <cols>
    <col min="1" max="1" width="5.28515625" customWidth="1"/>
    <col min="2" max="2" width="9.7109375" customWidth="1"/>
    <col min="4" max="4" width="9.140625" hidden="1" customWidth="1"/>
    <col min="5" max="5" width="9.7109375" customWidth="1"/>
    <col min="10" max="10" width="8.85546875" customWidth="1"/>
    <col min="11" max="11" width="9.140625" hidden="1" customWidth="1"/>
    <col min="12" max="12" width="0.140625" hidden="1" customWidth="1"/>
    <col min="15" max="15" width="10" customWidth="1"/>
    <col min="17" max="17" width="8" customWidth="1"/>
    <col min="18" max="18" width="8.28515625" customWidth="1"/>
  </cols>
  <sheetData>
    <row r="1" spans="1:19" hidden="1" x14ac:dyDescent="0.25"/>
    <row r="2" spans="1:19" hidden="1" x14ac:dyDescent="0.25"/>
    <row r="3" spans="1:19" hidden="1" x14ac:dyDescent="0.25"/>
    <row r="4" spans="1:19" ht="15" customHeight="1" x14ac:dyDescent="0.25">
      <c r="A4" s="62" t="s">
        <v>66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hidden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x14ac:dyDescent="0.25">
      <c r="A6" s="64"/>
      <c r="B6" s="65"/>
      <c r="C6" s="65"/>
      <c r="D6" s="65"/>
      <c r="E6" s="66"/>
      <c r="F6" s="67" t="s">
        <v>14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2"/>
    </row>
    <row r="7" spans="1:19" x14ac:dyDescent="0.25">
      <c r="A7" s="3"/>
      <c r="B7" s="68" t="s">
        <v>15</v>
      </c>
      <c r="C7" s="68"/>
      <c r="D7" s="68"/>
      <c r="E7" s="68"/>
      <c r="F7" s="69" t="s">
        <v>0</v>
      </c>
      <c r="G7" s="70"/>
      <c r="H7" s="70"/>
      <c r="I7" s="70"/>
      <c r="J7" s="70"/>
      <c r="K7" s="70"/>
      <c r="L7" s="70"/>
      <c r="M7" s="70"/>
      <c r="N7" s="70"/>
      <c r="O7" s="71"/>
      <c r="P7" s="72" t="s">
        <v>16</v>
      </c>
      <c r="Q7" s="73"/>
      <c r="R7" s="76" t="s">
        <v>17</v>
      </c>
      <c r="S7" s="79" t="s">
        <v>4</v>
      </c>
    </row>
    <row r="8" spans="1:19" x14ac:dyDescent="0.25">
      <c r="A8" s="4"/>
      <c r="B8" s="82" t="s">
        <v>18</v>
      </c>
      <c r="C8" s="82" t="s">
        <v>1</v>
      </c>
      <c r="D8" s="82" t="s">
        <v>19</v>
      </c>
      <c r="E8" s="91" t="s">
        <v>2</v>
      </c>
      <c r="F8" s="89" t="s">
        <v>20</v>
      </c>
      <c r="G8" s="89" t="s">
        <v>21</v>
      </c>
      <c r="H8" s="89" t="s">
        <v>22</v>
      </c>
      <c r="I8" s="89" t="s">
        <v>23</v>
      </c>
      <c r="J8" s="89" t="s">
        <v>24</v>
      </c>
      <c r="K8" s="89" t="s">
        <v>25</v>
      </c>
      <c r="L8" s="89" t="s">
        <v>68</v>
      </c>
      <c r="M8" s="89" t="s">
        <v>26</v>
      </c>
      <c r="N8" s="89" t="s">
        <v>27</v>
      </c>
      <c r="O8" s="84" t="s">
        <v>28</v>
      </c>
      <c r="P8" s="74"/>
      <c r="Q8" s="75"/>
      <c r="R8" s="77"/>
      <c r="S8" s="80"/>
    </row>
    <row r="9" spans="1:19" ht="87" customHeight="1" x14ac:dyDescent="0.25">
      <c r="A9" s="5"/>
      <c r="B9" s="83"/>
      <c r="C9" s="83"/>
      <c r="D9" s="83"/>
      <c r="E9" s="92"/>
      <c r="F9" s="93"/>
      <c r="G9" s="90"/>
      <c r="H9" s="90"/>
      <c r="I9" s="90"/>
      <c r="J9" s="90"/>
      <c r="K9" s="90"/>
      <c r="L9" s="90"/>
      <c r="M9" s="90"/>
      <c r="N9" s="90"/>
      <c r="O9" s="85"/>
      <c r="P9" s="6" t="s">
        <v>29</v>
      </c>
      <c r="Q9" s="6" t="s">
        <v>30</v>
      </c>
      <c r="R9" s="78"/>
      <c r="S9" s="81"/>
    </row>
    <row r="10" spans="1:19" x14ac:dyDescent="0.25">
      <c r="A10" s="7">
        <v>2015</v>
      </c>
      <c r="B10" s="8">
        <v>8</v>
      </c>
      <c r="C10" s="8">
        <v>4</v>
      </c>
      <c r="D10" s="8">
        <v>0</v>
      </c>
      <c r="E10" s="9">
        <f>B10+C10+D10</f>
        <v>12</v>
      </c>
      <c r="F10" s="46">
        <v>0.84</v>
      </c>
      <c r="G10" s="10">
        <v>1.72</v>
      </c>
      <c r="H10" s="10">
        <v>1.4</v>
      </c>
      <c r="I10" s="10">
        <v>0.24</v>
      </c>
      <c r="J10" s="10">
        <v>1.03</v>
      </c>
      <c r="K10" s="10">
        <v>0</v>
      </c>
      <c r="L10" s="10">
        <v>0</v>
      </c>
      <c r="M10" s="10">
        <v>2.35</v>
      </c>
      <c r="N10" s="10">
        <v>0</v>
      </c>
      <c r="O10" s="11">
        <f>SUM(F10:N10)</f>
        <v>7.58</v>
      </c>
      <c r="P10" s="94">
        <v>1.76</v>
      </c>
      <c r="Q10" s="95"/>
      <c r="R10" s="12">
        <v>0</v>
      </c>
      <c r="S10" s="13">
        <f>O10+P10</f>
        <v>9.34</v>
      </c>
    </row>
    <row r="11" spans="1:19" x14ac:dyDescent="0.25">
      <c r="A11" s="14">
        <v>2016</v>
      </c>
      <c r="B11" s="15">
        <v>12</v>
      </c>
      <c r="C11" s="15">
        <v>4</v>
      </c>
      <c r="D11" s="15">
        <v>0</v>
      </c>
      <c r="E11" s="16">
        <f>SUM(B11:D11)</f>
        <v>16</v>
      </c>
      <c r="F11" s="53">
        <v>0.85</v>
      </c>
      <c r="G11" s="53">
        <v>1.8</v>
      </c>
      <c r="H11" s="53">
        <v>1.6</v>
      </c>
      <c r="I11" s="53">
        <v>0.5</v>
      </c>
      <c r="J11" s="53">
        <v>1.1499999999999999</v>
      </c>
      <c r="K11" s="53">
        <v>0</v>
      </c>
      <c r="L11" s="53">
        <v>0</v>
      </c>
      <c r="M11" s="53">
        <v>2.35</v>
      </c>
      <c r="N11" s="53">
        <v>3.75</v>
      </c>
      <c r="O11" s="54">
        <f>SUM(F11:N11)</f>
        <v>12</v>
      </c>
      <c r="P11" s="55">
        <v>2</v>
      </c>
      <c r="Q11" s="55">
        <v>2</v>
      </c>
      <c r="R11" s="56">
        <v>0</v>
      </c>
      <c r="S11" s="17">
        <f>SUM(O11:R11)</f>
        <v>16</v>
      </c>
    </row>
    <row r="12" spans="1:19" ht="16.5" customHeight="1" x14ac:dyDescent="0.25">
      <c r="A12" s="96" t="s">
        <v>31</v>
      </c>
      <c r="B12" s="96"/>
      <c r="C12" s="96"/>
      <c r="D12" s="96"/>
      <c r="E12" s="18">
        <v>3102.7</v>
      </c>
      <c r="F12" s="97" t="s">
        <v>32</v>
      </c>
      <c r="G12" s="98"/>
      <c r="H12" s="98"/>
      <c r="I12" s="98"/>
      <c r="J12" s="98"/>
      <c r="K12" s="98"/>
      <c r="L12" s="98"/>
      <c r="M12" s="98"/>
      <c r="N12" s="99"/>
      <c r="O12" s="17"/>
      <c r="P12" s="100" t="s">
        <v>33</v>
      </c>
      <c r="Q12" s="101"/>
      <c r="R12" s="17" t="s">
        <v>34</v>
      </c>
      <c r="S12" s="17"/>
    </row>
    <row r="13" spans="1:19" x14ac:dyDescent="0.25">
      <c r="A13" s="86" t="s">
        <v>35</v>
      </c>
      <c r="B13" s="87"/>
      <c r="C13" s="87"/>
      <c r="D13" s="87"/>
      <c r="E13" s="88"/>
      <c r="F13" s="19">
        <f>E12*F11</f>
        <v>2637.2949999999996</v>
      </c>
      <c r="G13" s="19">
        <f>E12*G11</f>
        <v>5584.86</v>
      </c>
      <c r="H13" s="19">
        <f>E12*H11</f>
        <v>4964.32</v>
      </c>
      <c r="I13" s="19">
        <f>E12*I11</f>
        <v>1551.35</v>
      </c>
      <c r="J13" s="19">
        <f>E12*J11</f>
        <v>3568.1049999999996</v>
      </c>
      <c r="K13" s="19"/>
      <c r="L13" s="19">
        <f>E12*L11</f>
        <v>0</v>
      </c>
      <c r="M13" s="19">
        <f>E12*M11</f>
        <v>7291.3450000000003</v>
      </c>
      <c r="N13" s="19">
        <f>E12*N11</f>
        <v>11635.125</v>
      </c>
      <c r="O13" s="19">
        <f>SUM(F13:N13)</f>
        <v>37232.400000000001</v>
      </c>
      <c r="P13" s="19">
        <f>E12*P11</f>
        <v>6205.4</v>
      </c>
      <c r="Q13" s="19">
        <f>E12*Q11</f>
        <v>6205.4</v>
      </c>
      <c r="R13" s="19">
        <v>0</v>
      </c>
      <c r="S13" s="19">
        <f>O13+P13+Q13</f>
        <v>49643.200000000004</v>
      </c>
    </row>
    <row r="14" spans="1:19" x14ac:dyDescent="0.25">
      <c r="A14" s="102" t="s">
        <v>36</v>
      </c>
      <c r="B14" s="102"/>
      <c r="C14" s="102"/>
      <c r="D14" s="102"/>
      <c r="E14" s="103"/>
      <c r="F14" s="104" t="s">
        <v>37</v>
      </c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6"/>
    </row>
    <row r="15" spans="1:19" x14ac:dyDescent="0.25">
      <c r="A15" s="107" t="s">
        <v>38</v>
      </c>
      <c r="B15" s="107"/>
      <c r="C15" s="107"/>
      <c r="D15" s="108"/>
      <c r="E15" s="20">
        <v>12811.09</v>
      </c>
      <c r="F15" s="21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4"/>
    </row>
    <row r="16" spans="1:19" x14ac:dyDescent="0.25">
      <c r="A16" s="25" t="s">
        <v>39</v>
      </c>
      <c r="B16" s="26">
        <f>14075.52+1444.7+491.2</f>
        <v>16011.420000000002</v>
      </c>
      <c r="C16" s="26">
        <f>7112.4+722.35+245.6</f>
        <v>8080.35</v>
      </c>
      <c r="D16" s="26">
        <v>0</v>
      </c>
      <c r="E16" s="27">
        <f t="shared" ref="E16:E27" si="0">B16+C16+D16</f>
        <v>24091.770000000004</v>
      </c>
      <c r="F16" s="28">
        <f>3102.7*0.85</f>
        <v>2637.2949999999996</v>
      </c>
      <c r="G16" s="28">
        <f>3102.7*1.8</f>
        <v>5584.86</v>
      </c>
      <c r="H16" s="29">
        <f>3102.7*1.6</f>
        <v>4964.32</v>
      </c>
      <c r="I16" s="28">
        <v>1400</v>
      </c>
      <c r="J16" s="28">
        <f>3102.7*1.15</f>
        <v>3568.1049999999996</v>
      </c>
      <c r="K16" s="28">
        <v>0</v>
      </c>
      <c r="L16" s="28">
        <v>0</v>
      </c>
      <c r="M16" s="28">
        <f>3102.7*2.35</f>
        <v>7291.3450000000003</v>
      </c>
      <c r="N16" s="28">
        <v>0</v>
      </c>
      <c r="O16" s="45">
        <f>SUM(F16:N16)</f>
        <v>25445.924999999999</v>
      </c>
      <c r="P16" s="30">
        <v>0</v>
      </c>
      <c r="Q16" s="30">
        <v>0</v>
      </c>
      <c r="R16" s="28">
        <v>0</v>
      </c>
      <c r="S16" s="31">
        <f>O16+P16+Q16</f>
        <v>25445.924999999999</v>
      </c>
    </row>
    <row r="17" spans="1:19" x14ac:dyDescent="0.25">
      <c r="A17" s="25" t="s">
        <v>40</v>
      </c>
      <c r="B17" s="26">
        <f>19816.9+1780</f>
        <v>21596.9</v>
      </c>
      <c r="C17" s="26">
        <f>10770.45+890</f>
        <v>11660.45</v>
      </c>
      <c r="D17" s="26">
        <v>0</v>
      </c>
      <c r="E17" s="27">
        <f t="shared" si="0"/>
        <v>33257.350000000006</v>
      </c>
      <c r="F17" s="28">
        <f t="shared" ref="F17:F27" si="1">3102.7*0.85</f>
        <v>2637.2949999999996</v>
      </c>
      <c r="G17" s="28">
        <f t="shared" ref="G17:G27" si="2">3102.7*1.8</f>
        <v>5584.86</v>
      </c>
      <c r="H17" s="29">
        <f t="shared" ref="H17:H27" si="3">3102.7*1.6</f>
        <v>4964.32</v>
      </c>
      <c r="I17" s="28">
        <v>1400</v>
      </c>
      <c r="J17" s="28">
        <f t="shared" ref="J17:J27" si="4">3102.7*1.15</f>
        <v>3568.1049999999996</v>
      </c>
      <c r="K17" s="28">
        <v>0</v>
      </c>
      <c r="L17" s="28">
        <v>0</v>
      </c>
      <c r="M17" s="28">
        <f t="shared" ref="M17:M27" si="5">3102.7*2.35</f>
        <v>7291.3450000000003</v>
      </c>
      <c r="N17" s="28">
        <v>0</v>
      </c>
      <c r="O17" s="45">
        <f t="shared" ref="O17:O27" si="6">SUM(F17:N17)</f>
        <v>25445.924999999999</v>
      </c>
      <c r="P17" s="30">
        <v>0</v>
      </c>
      <c r="Q17" s="30">
        <v>0</v>
      </c>
      <c r="R17" s="28">
        <v>0</v>
      </c>
      <c r="S17" s="31">
        <f t="shared" ref="S17:S27" si="7">O17+P17+Q17</f>
        <v>25445.924999999999</v>
      </c>
    </row>
    <row r="18" spans="1:19" x14ac:dyDescent="0.25">
      <c r="A18" s="25" t="s">
        <v>5</v>
      </c>
      <c r="B18" s="26">
        <f>19034.4+1572</f>
        <v>20606.400000000001</v>
      </c>
      <c r="C18" s="26">
        <f>9817.2+786</f>
        <v>10603.2</v>
      </c>
      <c r="D18" s="26">
        <v>0</v>
      </c>
      <c r="E18" s="27">
        <f t="shared" si="0"/>
        <v>31209.600000000002</v>
      </c>
      <c r="F18" s="28">
        <f t="shared" si="1"/>
        <v>2637.2949999999996</v>
      </c>
      <c r="G18" s="28">
        <f t="shared" si="2"/>
        <v>5584.86</v>
      </c>
      <c r="H18" s="29">
        <f t="shared" si="3"/>
        <v>4964.32</v>
      </c>
      <c r="I18" s="28">
        <v>1400</v>
      </c>
      <c r="J18" s="28">
        <f t="shared" si="4"/>
        <v>3568.1049999999996</v>
      </c>
      <c r="K18" s="28">
        <v>0</v>
      </c>
      <c r="L18" s="28">
        <v>0</v>
      </c>
      <c r="M18" s="28">
        <f t="shared" si="5"/>
        <v>7291.3450000000003</v>
      </c>
      <c r="N18" s="28">
        <v>0</v>
      </c>
      <c r="O18" s="45">
        <f t="shared" si="6"/>
        <v>25445.924999999999</v>
      </c>
      <c r="P18" s="30">
        <v>0</v>
      </c>
      <c r="Q18" s="30">
        <v>0</v>
      </c>
      <c r="R18" s="28">
        <v>0</v>
      </c>
      <c r="S18" s="31">
        <f t="shared" si="7"/>
        <v>25445.924999999999</v>
      </c>
    </row>
    <row r="19" spans="1:19" x14ac:dyDescent="0.25">
      <c r="A19" s="25" t="s">
        <v>41</v>
      </c>
      <c r="B19" s="26">
        <f>14731.2+8017.6+966.4</f>
        <v>23715.200000000004</v>
      </c>
      <c r="C19" s="26">
        <f>7515.6+3508.8+483.2</f>
        <v>11507.600000000002</v>
      </c>
      <c r="D19" s="26"/>
      <c r="E19" s="27">
        <f t="shared" si="0"/>
        <v>35222.800000000003</v>
      </c>
      <c r="F19" s="28">
        <f t="shared" si="1"/>
        <v>2637.2949999999996</v>
      </c>
      <c r="G19" s="28">
        <f t="shared" si="2"/>
        <v>5584.86</v>
      </c>
      <c r="H19" s="29">
        <f t="shared" si="3"/>
        <v>4964.32</v>
      </c>
      <c r="I19" s="28">
        <v>700</v>
      </c>
      <c r="J19" s="28">
        <f t="shared" si="4"/>
        <v>3568.1049999999996</v>
      </c>
      <c r="K19" s="28"/>
      <c r="L19" s="28">
        <v>0</v>
      </c>
      <c r="M19" s="28">
        <f t="shared" si="5"/>
        <v>7291.3450000000003</v>
      </c>
      <c r="N19" s="28">
        <v>0</v>
      </c>
      <c r="O19" s="45">
        <f t="shared" si="6"/>
        <v>24745.924999999999</v>
      </c>
      <c r="P19" s="30">
        <v>3222</v>
      </c>
      <c r="Q19" s="30">
        <v>0</v>
      </c>
      <c r="R19" s="28">
        <v>0</v>
      </c>
      <c r="S19" s="31">
        <f t="shared" si="7"/>
        <v>27967.924999999999</v>
      </c>
    </row>
    <row r="20" spans="1:19" x14ac:dyDescent="0.25">
      <c r="A20" s="25" t="s">
        <v>6</v>
      </c>
      <c r="B20" s="26">
        <f>16351.2+3763.2+728.8</f>
        <v>20843.2</v>
      </c>
      <c r="C20" s="26">
        <f>8807.2+1881.6+364.4</f>
        <v>11053.2</v>
      </c>
      <c r="D20" s="26"/>
      <c r="E20" s="27">
        <f t="shared" si="0"/>
        <v>31896.400000000001</v>
      </c>
      <c r="F20" s="28">
        <f t="shared" si="1"/>
        <v>2637.2949999999996</v>
      </c>
      <c r="G20" s="28">
        <f t="shared" si="2"/>
        <v>5584.86</v>
      </c>
      <c r="H20" s="29">
        <f t="shared" si="3"/>
        <v>4964.32</v>
      </c>
      <c r="I20" s="28">
        <v>0</v>
      </c>
      <c r="J20" s="28">
        <f t="shared" si="4"/>
        <v>3568.1049999999996</v>
      </c>
      <c r="K20" s="28"/>
      <c r="L20" s="28">
        <v>0</v>
      </c>
      <c r="M20" s="28">
        <f t="shared" si="5"/>
        <v>7291.3450000000003</v>
      </c>
      <c r="N20" s="28">
        <f>3811.07+2508</f>
        <v>6319.07</v>
      </c>
      <c r="O20" s="45">
        <f t="shared" si="6"/>
        <v>30364.994999999999</v>
      </c>
      <c r="P20" s="30">
        <v>0</v>
      </c>
      <c r="Q20" s="30">
        <v>0</v>
      </c>
      <c r="R20" s="28">
        <v>0</v>
      </c>
      <c r="S20" s="31">
        <f t="shared" si="7"/>
        <v>30364.994999999999</v>
      </c>
    </row>
    <row r="21" spans="1:19" x14ac:dyDescent="0.25">
      <c r="A21" s="25" t="s">
        <v>11</v>
      </c>
      <c r="B21" s="26">
        <f>19966.54+4830+237.6</f>
        <v>25034.14</v>
      </c>
      <c r="C21" s="26">
        <f>10204.8+2322.8+118.8</f>
        <v>12646.399999999998</v>
      </c>
      <c r="D21" s="26"/>
      <c r="E21" s="27">
        <f t="shared" si="0"/>
        <v>37680.539999999994</v>
      </c>
      <c r="F21" s="28">
        <f t="shared" si="1"/>
        <v>2637.2949999999996</v>
      </c>
      <c r="G21" s="28">
        <f t="shared" si="2"/>
        <v>5584.86</v>
      </c>
      <c r="H21" s="29">
        <f t="shared" si="3"/>
        <v>4964.32</v>
      </c>
      <c r="I21" s="28">
        <v>0</v>
      </c>
      <c r="J21" s="28">
        <f t="shared" si="4"/>
        <v>3568.1049999999996</v>
      </c>
      <c r="K21" s="28"/>
      <c r="L21" s="28">
        <v>0</v>
      </c>
      <c r="M21" s="28">
        <f t="shared" si="5"/>
        <v>7291.3450000000003</v>
      </c>
      <c r="N21" s="28">
        <v>0</v>
      </c>
      <c r="O21" s="45">
        <f t="shared" si="6"/>
        <v>24045.924999999999</v>
      </c>
      <c r="P21" s="30">
        <v>1257</v>
      </c>
      <c r="Q21" s="30">
        <v>0</v>
      </c>
      <c r="R21" s="28">
        <v>0</v>
      </c>
      <c r="S21" s="31">
        <f t="shared" si="7"/>
        <v>25302.924999999999</v>
      </c>
    </row>
    <row r="22" spans="1:19" x14ac:dyDescent="0.25">
      <c r="A22" s="25" t="s">
        <v>7</v>
      </c>
      <c r="B22" s="26">
        <f>15639.6+3675.2+237.6</f>
        <v>19552.399999999998</v>
      </c>
      <c r="C22" s="26">
        <f>7801.53+1837.6+118.8</f>
        <v>9757.9299999999985</v>
      </c>
      <c r="D22" s="26"/>
      <c r="E22" s="27">
        <f t="shared" si="0"/>
        <v>29310.329999999994</v>
      </c>
      <c r="F22" s="28">
        <f t="shared" si="1"/>
        <v>2637.2949999999996</v>
      </c>
      <c r="G22" s="28">
        <f t="shared" si="2"/>
        <v>5584.86</v>
      </c>
      <c r="H22" s="29">
        <f t="shared" si="3"/>
        <v>4964.32</v>
      </c>
      <c r="I22" s="28">
        <v>0</v>
      </c>
      <c r="J22" s="28">
        <f t="shared" si="4"/>
        <v>3568.1049999999996</v>
      </c>
      <c r="K22" s="28"/>
      <c r="L22" s="28">
        <v>0</v>
      </c>
      <c r="M22" s="28">
        <f t="shared" si="5"/>
        <v>7291.3450000000003</v>
      </c>
      <c r="N22" s="28">
        <v>0</v>
      </c>
      <c r="O22" s="45">
        <f t="shared" si="6"/>
        <v>24045.924999999999</v>
      </c>
      <c r="P22" s="30">
        <v>0</v>
      </c>
      <c r="Q22" s="30">
        <v>0</v>
      </c>
      <c r="R22" s="28">
        <v>0</v>
      </c>
      <c r="S22" s="31">
        <f t="shared" si="7"/>
        <v>24045.924999999999</v>
      </c>
    </row>
    <row r="23" spans="1:19" x14ac:dyDescent="0.25">
      <c r="A23" s="25" t="s">
        <v>8</v>
      </c>
      <c r="B23" s="26">
        <f>18905.2+2714.4+237.6</f>
        <v>21857.200000000001</v>
      </c>
      <c r="C23" s="26">
        <f>9800.47+1357.2+118.8</f>
        <v>11276.47</v>
      </c>
      <c r="D23" s="26"/>
      <c r="E23" s="27">
        <f t="shared" si="0"/>
        <v>33133.67</v>
      </c>
      <c r="F23" s="28">
        <f t="shared" si="1"/>
        <v>2637.2949999999996</v>
      </c>
      <c r="G23" s="28">
        <f t="shared" si="2"/>
        <v>5584.86</v>
      </c>
      <c r="H23" s="29">
        <f t="shared" si="3"/>
        <v>4964.32</v>
      </c>
      <c r="I23" s="28">
        <v>0</v>
      </c>
      <c r="J23" s="28">
        <f t="shared" si="4"/>
        <v>3568.1049999999996</v>
      </c>
      <c r="K23" s="28"/>
      <c r="L23" s="28">
        <v>0</v>
      </c>
      <c r="M23" s="28">
        <f t="shared" si="5"/>
        <v>7291.3450000000003</v>
      </c>
      <c r="N23" s="28">
        <f>2508+1000</f>
        <v>3508</v>
      </c>
      <c r="O23" s="45">
        <f t="shared" si="6"/>
        <v>27553.924999999999</v>
      </c>
      <c r="P23" s="30">
        <f>18065+844+21894</f>
        <v>40803</v>
      </c>
      <c r="Q23" s="30">
        <v>0</v>
      </c>
      <c r="R23" s="28">
        <v>0</v>
      </c>
      <c r="S23" s="31">
        <f t="shared" si="7"/>
        <v>68356.925000000003</v>
      </c>
    </row>
    <row r="24" spans="1:19" x14ac:dyDescent="0.25">
      <c r="A24" s="25" t="s">
        <v>42</v>
      </c>
      <c r="B24" s="26">
        <f>18015.86+3348+732.6</f>
        <v>22096.46</v>
      </c>
      <c r="C24" s="26">
        <f>9025.2+1674+364.4</f>
        <v>11063.6</v>
      </c>
      <c r="D24" s="26"/>
      <c r="E24" s="27">
        <f t="shared" si="0"/>
        <v>33160.06</v>
      </c>
      <c r="F24" s="28">
        <f t="shared" si="1"/>
        <v>2637.2949999999996</v>
      </c>
      <c r="G24" s="28">
        <f t="shared" si="2"/>
        <v>5584.86</v>
      </c>
      <c r="H24" s="29">
        <f t="shared" si="3"/>
        <v>4964.32</v>
      </c>
      <c r="I24" s="28">
        <v>0</v>
      </c>
      <c r="J24" s="28">
        <f t="shared" si="4"/>
        <v>3568.1049999999996</v>
      </c>
      <c r="K24" s="28"/>
      <c r="L24" s="28"/>
      <c r="M24" s="28">
        <f t="shared" si="5"/>
        <v>7291.3450000000003</v>
      </c>
      <c r="N24" s="28">
        <v>3794</v>
      </c>
      <c r="O24" s="45">
        <f t="shared" si="6"/>
        <v>27839.924999999999</v>
      </c>
      <c r="P24" s="30">
        <v>0</v>
      </c>
      <c r="Q24" s="30">
        <v>859</v>
      </c>
      <c r="R24" s="28">
        <v>0</v>
      </c>
      <c r="S24" s="31">
        <f t="shared" si="7"/>
        <v>28698.924999999999</v>
      </c>
    </row>
    <row r="25" spans="1:19" x14ac:dyDescent="0.25">
      <c r="A25" s="25" t="s">
        <v>43</v>
      </c>
      <c r="B25" s="26">
        <f>25202.8+2914.4+237.6</f>
        <v>28354.799999999999</v>
      </c>
      <c r="C25" s="26">
        <f>11832.71+1282+118.8</f>
        <v>13233.509999999998</v>
      </c>
      <c r="D25" s="26"/>
      <c r="E25" s="27">
        <f t="shared" si="0"/>
        <v>41588.31</v>
      </c>
      <c r="F25" s="28">
        <f t="shared" si="1"/>
        <v>2637.2949999999996</v>
      </c>
      <c r="G25" s="28">
        <f t="shared" si="2"/>
        <v>5584.86</v>
      </c>
      <c r="H25" s="29">
        <f t="shared" si="3"/>
        <v>4964.32</v>
      </c>
      <c r="I25" s="28">
        <v>900</v>
      </c>
      <c r="J25" s="28">
        <f t="shared" si="4"/>
        <v>3568.1049999999996</v>
      </c>
      <c r="K25" s="28"/>
      <c r="L25" s="28"/>
      <c r="M25" s="28">
        <f t="shared" si="5"/>
        <v>7291.3450000000003</v>
      </c>
      <c r="N25" s="28">
        <f>6000+8000+1614.52</f>
        <v>15614.52</v>
      </c>
      <c r="O25" s="45">
        <f t="shared" si="6"/>
        <v>40560.445</v>
      </c>
      <c r="P25" s="30">
        <v>0</v>
      </c>
      <c r="Q25" s="30">
        <v>0</v>
      </c>
      <c r="R25" s="28">
        <v>0</v>
      </c>
      <c r="S25" s="31">
        <f t="shared" si="7"/>
        <v>40560.445</v>
      </c>
    </row>
    <row r="26" spans="1:19" x14ac:dyDescent="0.25">
      <c r="A26" s="25" t="s">
        <v>44</v>
      </c>
      <c r="B26" s="26">
        <f>26664.8+6553.6+237.6</f>
        <v>33456</v>
      </c>
      <c r="C26" s="26">
        <f>9395.6+2080.1+118.8</f>
        <v>11594.5</v>
      </c>
      <c r="D26" s="26"/>
      <c r="E26" s="27">
        <f t="shared" si="0"/>
        <v>45050.5</v>
      </c>
      <c r="F26" s="28">
        <f t="shared" si="1"/>
        <v>2637.2949999999996</v>
      </c>
      <c r="G26" s="28">
        <f t="shared" si="2"/>
        <v>5584.86</v>
      </c>
      <c r="H26" s="29">
        <f t="shared" si="3"/>
        <v>4964.32</v>
      </c>
      <c r="I26" s="28">
        <v>1400</v>
      </c>
      <c r="J26" s="28">
        <f t="shared" si="4"/>
        <v>3568.1049999999996</v>
      </c>
      <c r="K26" s="28"/>
      <c r="L26" s="28"/>
      <c r="M26" s="28">
        <f t="shared" si="5"/>
        <v>7291.3450000000003</v>
      </c>
      <c r="N26" s="28">
        <v>0</v>
      </c>
      <c r="O26" s="45">
        <f t="shared" si="6"/>
        <v>25445.924999999999</v>
      </c>
      <c r="P26" s="30">
        <v>8737</v>
      </c>
      <c r="Q26" s="30">
        <v>0</v>
      </c>
      <c r="R26" s="28">
        <v>0</v>
      </c>
      <c r="S26" s="31">
        <f t="shared" si="7"/>
        <v>34182.925000000003</v>
      </c>
    </row>
    <row r="27" spans="1:19" x14ac:dyDescent="0.25">
      <c r="A27" s="25" t="s">
        <v>45</v>
      </c>
      <c r="B27" s="26">
        <f>38496.7+3359.6+237.6</f>
        <v>42093.899999999994</v>
      </c>
      <c r="C27" s="26">
        <f>14243.76+1043.6+118.8</f>
        <v>15406.16</v>
      </c>
      <c r="D27" s="26"/>
      <c r="E27" s="27">
        <f t="shared" si="0"/>
        <v>57500.06</v>
      </c>
      <c r="F27" s="28">
        <f t="shared" si="1"/>
        <v>2637.2949999999996</v>
      </c>
      <c r="G27" s="28">
        <f t="shared" si="2"/>
        <v>5584.86</v>
      </c>
      <c r="H27" s="29">
        <f t="shared" si="3"/>
        <v>4964.32</v>
      </c>
      <c r="I27" s="28">
        <v>1400</v>
      </c>
      <c r="J27" s="28">
        <f t="shared" si="4"/>
        <v>3568.1049999999996</v>
      </c>
      <c r="K27" s="28"/>
      <c r="L27" s="28"/>
      <c r="M27" s="28">
        <f t="shared" si="5"/>
        <v>7291.3450000000003</v>
      </c>
      <c r="N27" s="28">
        <v>0</v>
      </c>
      <c r="O27" s="45">
        <f t="shared" si="6"/>
        <v>25445.924999999999</v>
      </c>
      <c r="P27" s="30">
        <v>0</v>
      </c>
      <c r="Q27" s="30">
        <v>0</v>
      </c>
      <c r="R27" s="28">
        <v>0</v>
      </c>
      <c r="S27" s="31">
        <f t="shared" si="7"/>
        <v>25445.924999999999</v>
      </c>
    </row>
    <row r="28" spans="1:19" ht="48.75" x14ac:dyDescent="0.25">
      <c r="A28" s="32" t="s">
        <v>46</v>
      </c>
      <c r="B28" s="26">
        <f>900+900+1800+1800</f>
        <v>5400</v>
      </c>
      <c r="C28" s="26">
        <v>0</v>
      </c>
      <c r="D28" s="26">
        <v>0</v>
      </c>
      <c r="E28" s="26">
        <f>B28+C28+D28</f>
        <v>5400</v>
      </c>
      <c r="F28" s="28"/>
      <c r="G28" s="28"/>
      <c r="H28" s="28"/>
      <c r="I28" s="28"/>
      <c r="J28" s="28"/>
      <c r="K28" s="28"/>
      <c r="L28" s="28"/>
      <c r="M28" s="28"/>
      <c r="N28" s="28"/>
      <c r="O28" s="45"/>
      <c r="P28" s="30"/>
      <c r="Q28" s="30"/>
      <c r="R28" s="28"/>
      <c r="S28" s="31"/>
    </row>
    <row r="29" spans="1:19" x14ac:dyDescent="0.25">
      <c r="A29" s="33" t="s">
        <v>2</v>
      </c>
      <c r="B29" s="34">
        <f>SUM(B16:B28)</f>
        <v>300618.02</v>
      </c>
      <c r="C29" s="58">
        <f>SUM(C16:C28)</f>
        <v>137883.37</v>
      </c>
      <c r="D29" s="34"/>
      <c r="E29" s="34">
        <f>SUM(E15:E28)</f>
        <v>451312.48</v>
      </c>
      <c r="F29" s="34">
        <f>SUM(F16:F28)</f>
        <v>31647.53999999999</v>
      </c>
      <c r="G29" s="34">
        <f>SUM(G16:G28)</f>
        <v>67018.319999999992</v>
      </c>
      <c r="H29" s="34">
        <f>SUM(H16:H28)</f>
        <v>59571.839999999997</v>
      </c>
      <c r="I29" s="34">
        <f>SUM(I16:I28)</f>
        <v>8600</v>
      </c>
      <c r="J29" s="34">
        <f>SUM(J16:J28)</f>
        <v>42817.259999999995</v>
      </c>
      <c r="K29" s="34"/>
      <c r="L29" s="34"/>
      <c r="M29" s="34">
        <f t="shared" ref="M29:S29" si="8">SUM(M16:M28)</f>
        <v>87496.14</v>
      </c>
      <c r="N29" s="34">
        <f t="shared" si="8"/>
        <v>29235.59</v>
      </c>
      <c r="O29" s="34">
        <f t="shared" si="8"/>
        <v>326386.68999999994</v>
      </c>
      <c r="P29" s="34">
        <f t="shared" si="8"/>
        <v>54019</v>
      </c>
      <c r="Q29" s="34">
        <f t="shared" si="8"/>
        <v>859</v>
      </c>
      <c r="R29" s="34">
        <f t="shared" si="8"/>
        <v>0</v>
      </c>
      <c r="S29" s="35">
        <f t="shared" si="8"/>
        <v>381264.68999999994</v>
      </c>
    </row>
    <row r="30" spans="1:19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0" t="s">
        <v>67</v>
      </c>
      <c r="R30" s="143">
        <f>E29-S29</f>
        <v>70047.790000000037</v>
      </c>
      <c r="S30" s="143"/>
    </row>
    <row r="31" spans="1:19" x14ac:dyDescent="0.25">
      <c r="A31" s="47" t="s">
        <v>6</v>
      </c>
      <c r="B31" s="59">
        <v>2968.97</v>
      </c>
      <c r="C31" s="52" t="s">
        <v>69</v>
      </c>
      <c r="D31" s="52"/>
      <c r="E31" s="52"/>
      <c r="F31" s="52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</row>
    <row r="32" spans="1:19" x14ac:dyDescent="0.25">
      <c r="A32" s="51"/>
      <c r="B32" s="60">
        <v>842.1</v>
      </c>
      <c r="C32" s="51" t="s">
        <v>70</v>
      </c>
      <c r="D32" s="51"/>
      <c r="E32" s="51"/>
      <c r="F32" s="51"/>
    </row>
    <row r="33" spans="1:19" x14ac:dyDescent="0.25">
      <c r="A33" s="51"/>
      <c r="B33" s="60">
        <v>2508</v>
      </c>
      <c r="C33" s="51" t="s">
        <v>71</v>
      </c>
      <c r="D33" s="51"/>
      <c r="E33" s="51"/>
      <c r="F33" s="51"/>
    </row>
    <row r="34" spans="1:19" x14ac:dyDescent="0.25">
      <c r="A34" s="51" t="s">
        <v>8</v>
      </c>
      <c r="B34" s="60">
        <v>2508</v>
      </c>
      <c r="C34" s="51" t="s">
        <v>71</v>
      </c>
      <c r="D34" s="51"/>
      <c r="E34" s="51"/>
      <c r="F34" s="51"/>
      <c r="O34" s="61"/>
    </row>
    <row r="35" spans="1:19" x14ac:dyDescent="0.25">
      <c r="B35" s="60">
        <v>1000</v>
      </c>
      <c r="C35" s="51" t="s">
        <v>13</v>
      </c>
    </row>
    <row r="36" spans="1:19" x14ac:dyDescent="0.25">
      <c r="A36" s="57" t="s">
        <v>9</v>
      </c>
      <c r="B36" s="60">
        <v>3794</v>
      </c>
      <c r="C36" s="51" t="s">
        <v>12</v>
      </c>
    </row>
    <row r="37" spans="1:19" x14ac:dyDescent="0.25">
      <c r="A37" s="57" t="s">
        <v>10</v>
      </c>
      <c r="B37" s="60">
        <v>1614.52</v>
      </c>
      <c r="C37" s="51" t="s">
        <v>72</v>
      </c>
    </row>
    <row r="38" spans="1:19" x14ac:dyDescent="0.25">
      <c r="A38" s="57"/>
      <c r="B38" s="60">
        <v>6000</v>
      </c>
      <c r="C38" s="51" t="s">
        <v>73</v>
      </c>
    </row>
    <row r="39" spans="1:19" x14ac:dyDescent="0.25">
      <c r="A39" s="57"/>
      <c r="B39" s="60">
        <v>8000</v>
      </c>
      <c r="C39" s="51" t="s">
        <v>74</v>
      </c>
    </row>
    <row r="40" spans="1:19" x14ac:dyDescent="0.25">
      <c r="A40" s="57"/>
      <c r="B40" s="60"/>
      <c r="C40" s="51"/>
    </row>
    <row r="41" spans="1:19" x14ac:dyDescent="0.25">
      <c r="A41" s="57"/>
      <c r="B41" s="60"/>
      <c r="C41" s="51"/>
    </row>
    <row r="42" spans="1:19" x14ac:dyDescent="0.25">
      <c r="B42" s="51"/>
      <c r="C42" s="51"/>
    </row>
    <row r="43" spans="1:19" x14ac:dyDescent="0.25">
      <c r="A43" s="109" t="s">
        <v>47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</row>
    <row r="44" spans="1:19" x14ac:dyDescent="0.25">
      <c r="A44" s="110" t="s">
        <v>48</v>
      </c>
      <c r="B44" s="110"/>
      <c r="C44" s="111" t="s">
        <v>3</v>
      </c>
      <c r="D44" s="111"/>
      <c r="E44" s="111"/>
      <c r="F44" s="111"/>
      <c r="G44" s="111"/>
      <c r="H44" s="111"/>
      <c r="I44" s="111"/>
      <c r="J44" s="111"/>
      <c r="K44" s="111"/>
      <c r="L44" s="112" t="s">
        <v>49</v>
      </c>
      <c r="M44" s="113"/>
      <c r="N44" s="114"/>
      <c r="O44" s="110" t="s">
        <v>50</v>
      </c>
      <c r="P44" s="118"/>
      <c r="Q44" s="110" t="s">
        <v>51</v>
      </c>
      <c r="R44" s="110"/>
      <c r="S44" s="118" t="s">
        <v>52</v>
      </c>
    </row>
    <row r="45" spans="1:19" x14ac:dyDescent="0.25">
      <c r="A45" s="110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5"/>
      <c r="M45" s="116"/>
      <c r="N45" s="117"/>
      <c r="O45" s="110"/>
      <c r="P45" s="119"/>
      <c r="Q45" s="110"/>
      <c r="R45" s="110"/>
      <c r="S45" s="119"/>
    </row>
    <row r="46" spans="1:19" x14ac:dyDescent="0.25">
      <c r="A46" s="127"/>
      <c r="B46" s="128"/>
      <c r="C46" s="120" t="s">
        <v>53</v>
      </c>
      <c r="D46" s="121"/>
      <c r="E46" s="121"/>
      <c r="F46" s="121"/>
      <c r="G46" s="121"/>
      <c r="H46" s="121"/>
      <c r="I46" s="121"/>
      <c r="J46" s="121"/>
      <c r="K46" s="122"/>
      <c r="L46" s="123"/>
      <c r="M46" s="124"/>
      <c r="N46" s="125"/>
      <c r="O46" s="36"/>
      <c r="P46" s="36"/>
      <c r="Q46" s="126"/>
      <c r="R46" s="126"/>
      <c r="S46" s="36"/>
    </row>
    <row r="47" spans="1:19" x14ac:dyDescent="0.25">
      <c r="A47" s="127"/>
      <c r="B47" s="128"/>
      <c r="C47" s="120" t="s">
        <v>54</v>
      </c>
      <c r="D47" s="121"/>
      <c r="E47" s="121"/>
      <c r="F47" s="121"/>
      <c r="G47" s="121"/>
      <c r="H47" s="121"/>
      <c r="I47" s="121"/>
      <c r="J47" s="121"/>
      <c r="K47" s="122"/>
      <c r="L47" s="129" t="s">
        <v>55</v>
      </c>
      <c r="M47" s="130"/>
      <c r="N47" s="131"/>
      <c r="O47" s="37">
        <v>0.05</v>
      </c>
      <c r="P47" s="38"/>
      <c r="Q47" s="67">
        <f>SUM(O47*2487*12)</f>
        <v>1492.2</v>
      </c>
      <c r="R47" s="67"/>
      <c r="S47" s="37"/>
    </row>
    <row r="48" spans="1:19" x14ac:dyDescent="0.25">
      <c r="A48" s="127"/>
      <c r="B48" s="128"/>
      <c r="C48" s="120" t="s">
        <v>56</v>
      </c>
      <c r="D48" s="121"/>
      <c r="E48" s="121"/>
      <c r="F48" s="121"/>
      <c r="G48" s="121"/>
      <c r="H48" s="121"/>
      <c r="I48" s="121"/>
      <c r="J48" s="121"/>
      <c r="K48" s="122"/>
      <c r="L48" s="129" t="s">
        <v>55</v>
      </c>
      <c r="M48" s="130"/>
      <c r="N48" s="131"/>
      <c r="O48" s="37">
        <v>0.05</v>
      </c>
      <c r="P48" s="38"/>
      <c r="Q48" s="67">
        <f t="shared" ref="Q48:Q54" si="9">SUM(O48*2487*12)</f>
        <v>1492.2</v>
      </c>
      <c r="R48" s="67"/>
      <c r="S48" s="37"/>
    </row>
    <row r="49" spans="1:19" x14ac:dyDescent="0.25">
      <c r="A49" s="127"/>
      <c r="B49" s="128"/>
      <c r="C49" s="120" t="s">
        <v>57</v>
      </c>
      <c r="D49" s="121"/>
      <c r="E49" s="121"/>
      <c r="F49" s="121"/>
      <c r="G49" s="121"/>
      <c r="H49" s="121"/>
      <c r="I49" s="121"/>
      <c r="J49" s="121"/>
      <c r="K49" s="122"/>
      <c r="L49" s="129" t="s">
        <v>58</v>
      </c>
      <c r="M49" s="130"/>
      <c r="N49" s="131"/>
      <c r="O49" s="37">
        <v>0.15</v>
      </c>
      <c r="P49" s="38"/>
      <c r="Q49" s="67">
        <f t="shared" si="9"/>
        <v>4476.6000000000004</v>
      </c>
      <c r="R49" s="67"/>
      <c r="S49" s="37"/>
    </row>
    <row r="50" spans="1:19" x14ac:dyDescent="0.25">
      <c r="A50" s="135"/>
      <c r="B50" s="66"/>
      <c r="C50" s="136" t="s">
        <v>59</v>
      </c>
      <c r="D50" s="137"/>
      <c r="E50" s="137"/>
      <c r="F50" s="137"/>
      <c r="G50" s="137"/>
      <c r="H50" s="137"/>
      <c r="I50" s="137"/>
      <c r="J50" s="137"/>
      <c r="K50" s="138"/>
      <c r="L50" s="129" t="s">
        <v>55</v>
      </c>
      <c r="M50" s="130"/>
      <c r="N50" s="131"/>
      <c r="O50" s="2">
        <v>0.15</v>
      </c>
      <c r="P50" s="2"/>
      <c r="Q50" s="67">
        <f t="shared" si="9"/>
        <v>4476.6000000000004</v>
      </c>
      <c r="R50" s="67"/>
      <c r="S50" s="2"/>
    </row>
    <row r="51" spans="1:19" x14ac:dyDescent="0.25">
      <c r="A51" s="67"/>
      <c r="B51" s="67"/>
      <c r="C51" s="145" t="s">
        <v>60</v>
      </c>
      <c r="D51" s="146"/>
      <c r="E51" s="146"/>
      <c r="F51" s="146"/>
      <c r="G51" s="146"/>
      <c r="H51" s="146"/>
      <c r="I51" s="146"/>
      <c r="J51" s="146"/>
      <c r="K51" s="147"/>
      <c r="L51" s="132" t="s">
        <v>61</v>
      </c>
      <c r="M51" s="133"/>
      <c r="N51" s="134"/>
      <c r="O51" s="2">
        <v>0.25</v>
      </c>
      <c r="P51" s="2"/>
      <c r="Q51" s="67">
        <f t="shared" si="9"/>
        <v>7461</v>
      </c>
      <c r="R51" s="67"/>
      <c r="S51" s="2"/>
    </row>
    <row r="52" spans="1:19" x14ac:dyDescent="0.25">
      <c r="A52" s="135"/>
      <c r="B52" s="66"/>
      <c r="C52" s="145" t="s">
        <v>62</v>
      </c>
      <c r="D52" s="146"/>
      <c r="E52" s="146"/>
      <c r="F52" s="146"/>
      <c r="G52" s="146"/>
      <c r="H52" s="146"/>
      <c r="I52" s="146"/>
      <c r="J52" s="146"/>
      <c r="K52" s="147"/>
      <c r="L52" s="132" t="s">
        <v>61</v>
      </c>
      <c r="M52" s="133"/>
      <c r="N52" s="134"/>
      <c r="O52" s="2">
        <v>0.1</v>
      </c>
      <c r="P52" s="39"/>
      <c r="Q52" s="67">
        <f t="shared" si="9"/>
        <v>2984.4</v>
      </c>
      <c r="R52" s="67"/>
      <c r="S52" s="2"/>
    </row>
    <row r="53" spans="1:19" x14ac:dyDescent="0.25">
      <c r="A53" s="67"/>
      <c r="B53" s="67"/>
      <c r="C53" s="136" t="s">
        <v>63</v>
      </c>
      <c r="D53" s="137"/>
      <c r="E53" s="137"/>
      <c r="F53" s="137"/>
      <c r="G53" s="137"/>
      <c r="H53" s="137"/>
      <c r="I53" s="137"/>
      <c r="J53" s="137"/>
      <c r="K53" s="138"/>
      <c r="L53" s="132" t="s">
        <v>61</v>
      </c>
      <c r="M53" s="133"/>
      <c r="N53" s="134"/>
      <c r="O53" s="2">
        <v>0.25</v>
      </c>
      <c r="P53" s="2"/>
      <c r="Q53" s="67">
        <f t="shared" si="9"/>
        <v>7461</v>
      </c>
      <c r="R53" s="67"/>
      <c r="S53" s="2"/>
    </row>
    <row r="54" spans="1:19" x14ac:dyDescent="0.25">
      <c r="A54" s="40"/>
      <c r="B54" s="41"/>
      <c r="C54" s="144" t="s">
        <v>64</v>
      </c>
      <c r="D54" s="144"/>
      <c r="E54" s="144"/>
      <c r="F54" s="144"/>
      <c r="G54" s="144"/>
      <c r="H54" s="144"/>
      <c r="I54" s="144"/>
      <c r="J54" s="144"/>
      <c r="K54" s="144"/>
      <c r="L54" s="129" t="s">
        <v>55</v>
      </c>
      <c r="M54" s="130"/>
      <c r="N54" s="131"/>
      <c r="O54" s="1">
        <v>1</v>
      </c>
      <c r="P54" s="42"/>
      <c r="Q54" s="67">
        <f t="shared" si="9"/>
        <v>29844</v>
      </c>
      <c r="R54" s="67"/>
      <c r="S54" s="2"/>
    </row>
    <row r="55" spans="1:19" x14ac:dyDescent="0.25">
      <c r="E55" s="139" t="s">
        <v>65</v>
      </c>
      <c r="F55" s="140"/>
      <c r="G55" s="140"/>
      <c r="H55" s="140"/>
      <c r="I55" s="140"/>
      <c r="J55" s="140"/>
      <c r="K55" s="140"/>
      <c r="L55" s="140"/>
      <c r="M55" s="140"/>
      <c r="N55" s="141"/>
      <c r="O55" s="43">
        <f>SUM(O47:O54)</f>
        <v>2</v>
      </c>
      <c r="P55" s="44"/>
      <c r="Q55" s="142">
        <f>SUM(Q47:Q54)</f>
        <v>59688</v>
      </c>
      <c r="R55" s="142"/>
      <c r="S55" s="2"/>
    </row>
  </sheetData>
  <mergeCells count="77">
    <mergeCell ref="E55:N55"/>
    <mergeCell ref="Q55:R55"/>
    <mergeCell ref="R30:S30"/>
    <mergeCell ref="A53:B53"/>
    <mergeCell ref="C53:K53"/>
    <mergeCell ref="L53:N53"/>
    <mergeCell ref="Q53:R53"/>
    <mergeCell ref="C54:K54"/>
    <mergeCell ref="L54:N54"/>
    <mergeCell ref="Q54:R54"/>
    <mergeCell ref="A51:B51"/>
    <mergeCell ref="C51:K51"/>
    <mergeCell ref="L51:N51"/>
    <mergeCell ref="Q51:R51"/>
    <mergeCell ref="A52:B52"/>
    <mergeCell ref="C52:K52"/>
    <mergeCell ref="L52:N52"/>
    <mergeCell ref="Q52:R52"/>
    <mergeCell ref="A49:B49"/>
    <mergeCell ref="C49:K49"/>
    <mergeCell ref="L49:N49"/>
    <mergeCell ref="Q49:R49"/>
    <mergeCell ref="A50:B50"/>
    <mergeCell ref="C50:K50"/>
    <mergeCell ref="L50:N50"/>
    <mergeCell ref="Q50:R50"/>
    <mergeCell ref="C46:K46"/>
    <mergeCell ref="L46:N46"/>
    <mergeCell ref="Q46:R46"/>
    <mergeCell ref="A48:B48"/>
    <mergeCell ref="C48:K48"/>
    <mergeCell ref="L48:N48"/>
    <mergeCell ref="Q48:R48"/>
    <mergeCell ref="A47:B47"/>
    <mergeCell ref="C47:K47"/>
    <mergeCell ref="L47:N47"/>
    <mergeCell ref="Q47:R47"/>
    <mergeCell ref="A46:B46"/>
    <mergeCell ref="A14:E14"/>
    <mergeCell ref="F14:S14"/>
    <mergeCell ref="A15:D15"/>
    <mergeCell ref="A43:S43"/>
    <mergeCell ref="A44:B45"/>
    <mergeCell ref="C44:K45"/>
    <mergeCell ref="L44:N45"/>
    <mergeCell ref="O44:O45"/>
    <mergeCell ref="P44:P45"/>
    <mergeCell ref="Q44:R45"/>
    <mergeCell ref="S44:S45"/>
    <mergeCell ref="P10:Q10"/>
    <mergeCell ref="A12:D12"/>
    <mergeCell ref="F12:N12"/>
    <mergeCell ref="P12:Q12"/>
    <mergeCell ref="M8:M9"/>
    <mergeCell ref="N8:N9"/>
    <mergeCell ref="A13:E13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H8:H9"/>
    <mergeCell ref="A4:S4"/>
    <mergeCell ref="A5:S5"/>
    <mergeCell ref="A6:E6"/>
    <mergeCell ref="F6:R6"/>
    <mergeCell ref="B7:E7"/>
    <mergeCell ref="F7:O7"/>
    <mergeCell ref="P7:Q8"/>
    <mergeCell ref="R7:R9"/>
    <mergeCell ref="S7:S9"/>
    <mergeCell ref="B8:B9"/>
    <mergeCell ref="O8:O9"/>
  </mergeCells>
  <pageMargins left="0.14583333333333334" right="8.3333333333333329E-2" top="0.13541666666666666" bottom="2.0833333333333332E-2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2017-02-03T10:42:40Z</cp:lastPrinted>
  <dcterms:created xsi:type="dcterms:W3CDTF">2010-10-26T12:00:13Z</dcterms:created>
  <dcterms:modified xsi:type="dcterms:W3CDTF">2017-02-06T09:59:58Z</dcterms:modified>
</cp:coreProperties>
</file>