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3485" windowHeight="5400" activeTab="0"/>
  </bookViews>
  <sheets>
    <sheet name="2016" sheetId="1" r:id="rId1"/>
  </sheets>
  <definedNames>
    <definedName name="_xlnm.Print_Area" localSheetId="0">'2016'!$A$4:$S$38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N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1200р-прочистка вент канала по 28кв.</t>
        </r>
      </text>
    </comment>
    <comment ref="N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4356р-краска и т.д</t>
        </r>
      </text>
    </comment>
    <comment ref="N2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покос июль-август-6718р
покос май-июнь-5733р
Смена досок-755р
6607р-дезинсекция</t>
        </r>
      </text>
    </comment>
    <comment ref="N2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тех.обслуживание ОДГО-2480,96р</t>
        </r>
      </text>
    </comment>
  </commentList>
</comments>
</file>

<file path=xl/sharedStrings.xml><?xml version="1.0" encoding="utf-8"?>
<sst xmlns="http://schemas.openxmlformats.org/spreadsheetml/2006/main" count="86" uniqueCount="76">
  <si>
    <t>март</t>
  </si>
  <si>
    <t>май</t>
  </si>
  <si>
    <t>июнь</t>
  </si>
  <si>
    <t>июль</t>
  </si>
  <si>
    <t>Содержание</t>
  </si>
  <si>
    <t>итого</t>
  </si>
  <si>
    <t>ремонт</t>
  </si>
  <si>
    <t>апрель</t>
  </si>
  <si>
    <t>ИТОГО</t>
  </si>
  <si>
    <t>февраль</t>
  </si>
  <si>
    <t>август</t>
  </si>
  <si>
    <t>октябрь</t>
  </si>
  <si>
    <t>Итого</t>
  </si>
  <si>
    <t>Меркурий</t>
  </si>
  <si>
    <t>дезинсекция</t>
  </si>
  <si>
    <t>Дет.худ.школа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</si>
  <si>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</si>
  <si>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</si>
  <si>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</si>
  <si>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</si>
  <si>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</si>
  <si>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</si>
  <si>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</si>
  <si>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</si>
  <si>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</si>
  <si>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</si>
  <si>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</si>
  <si>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</si>
  <si>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</si>
  <si>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</si>
  <si>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</si>
  <si>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r>
      <rPr>
        <b/>
        <sz val="8"/>
        <rFont val="Arial Cyr"/>
        <family val="0"/>
      </rPr>
      <t>СОДЕРЖАНИ</t>
    </r>
    <r>
      <rPr>
        <sz val="8"/>
        <rFont val="Arial Cyr"/>
        <family val="0"/>
      </rPr>
      <t>Е,    всего</t>
    </r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</si>
  <si>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</si>
  <si>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</si>
  <si>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</si>
  <si>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</si>
  <si>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</si>
  <si>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</si>
  <si>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</si>
  <si>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</si>
  <si>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</si>
  <si>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</si>
  <si>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</si>
  <si>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</si>
  <si>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</si>
  <si>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</si>
  <si>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</si>
  <si>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</si>
  <si>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</si>
  <si>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</si>
  <si>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Прочие работы по содержанию общедомового имущества</t>
  </si>
  <si>
    <t>Дата выполнения</t>
  </si>
  <si>
    <t>Наименование работ</t>
  </si>
  <si>
    <t>Периодич-ность /количествен-ный показатель выполненной работы (оказанной услуги)</t>
  </si>
  <si>
    <t>Сметная стои-мость работы за единицу</t>
  </si>
  <si>
    <t xml:space="preserve">Сметная стои-мость на весь объем работ (услуг) </t>
  </si>
  <si>
    <t xml:space="preserve">Цена выпол-неной работы </t>
  </si>
  <si>
    <t>Работы по содержанию земельного участка с элементами озеленения и благоустройства:</t>
  </si>
  <si>
    <t>1)спил деревьев</t>
  </si>
  <si>
    <t>по мере необходимости</t>
  </si>
  <si>
    <t>2)вывоз крупногабаритного мусора</t>
  </si>
  <si>
    <t>3) покос</t>
  </si>
  <si>
    <t>не менее 2 раза в год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</si>
  <si>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</si>
  <si>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</si>
  <si>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2 раза в год</t>
  </si>
  <si>
    <t>Работы по обеспечению требований пожарной безопасности</t>
  </si>
  <si>
    <t>Работы по содержанию и ремонту систем внутридомового газового оборудования</t>
  </si>
  <si>
    <t>Непредвиденные расходы</t>
  </si>
  <si>
    <t>Информация о доходах и расходах по дому __Кочубея 5__на 2016год.</t>
  </si>
  <si>
    <t>ИТОГО:</t>
  </si>
  <si>
    <t>прочистка вентканала по кв.28</t>
  </si>
  <si>
    <t>краска и т.д.</t>
  </si>
  <si>
    <t>покос</t>
  </si>
  <si>
    <t>смена досок садовых скамеек</t>
  </si>
  <si>
    <t>тех.обслуживание ОДГО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</si>
</sst>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_р_."/>
    <numFmt numFmtId="171" formatCode="0.000"/>
    <numFmt numFmtId="172" formatCode="#,##0.0_р_."/>
    <numFmt numFmtId="173" formatCode="#,##0_р_."/>
    <numFmt numFmtId="174" formatCode="#,##0.0000_р_."/>
    <numFmt numFmtId="175" formatCode="#,##0.00000_р_."/>
    <numFmt numFmtId="176" formatCode="0.0"/>
    <numFmt numFmtId="177" formatCode="#,##0&quot;р.&quot;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7"/>
      <name val="Arial Cyr"/>
      <family val="0"/>
    </font>
    <font>
      <b/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4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32" borderId="10" xfId="0" applyFill="1" applyBorder="1" applyAlignment="1">
      <alignment/>
    </xf>
    <xf numFmtId="2" fontId="3" fillId="0" borderId="11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8" fillId="33" borderId="12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left"/>
    </xf>
    <xf numFmtId="2" fontId="9" fillId="0" borderId="11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left" wrapText="1"/>
    </xf>
    <xf numFmtId="0" fontId="50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left" wrapText="1"/>
    </xf>
    <xf numFmtId="2" fontId="3" fillId="0" borderId="11" xfId="0" applyNumberFormat="1" applyFont="1" applyBorder="1" applyAlignment="1">
      <alignment horizontal="center" vertical="top"/>
    </xf>
    <xf numFmtId="4" fontId="3" fillId="33" borderId="10" xfId="0" applyNumberFormat="1" applyFont="1" applyFill="1" applyBorder="1" applyAlignment="1">
      <alignment/>
    </xf>
    <xf numFmtId="2" fontId="8" fillId="0" borderId="11" xfId="0" applyNumberFormat="1" applyFont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/>
    </xf>
    <xf numFmtId="2" fontId="1" fillId="7" borderId="11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/>
    </xf>
    <xf numFmtId="2" fontId="0" fillId="13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17" fontId="3" fillId="3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/>
    </xf>
    <xf numFmtId="164" fontId="1" fillId="4" borderId="10" xfId="0" applyNumberFormat="1" applyFont="1" applyFill="1" applyBorder="1" applyAlignment="1">
      <alignment/>
    </xf>
    <xf numFmtId="164" fontId="1" fillId="13" borderId="10" xfId="0" applyNumberFormat="1" applyFont="1" applyFill="1" applyBorder="1" applyAlignment="1">
      <alignment/>
    </xf>
    <xf numFmtId="164" fontId="1" fillId="13" borderId="11" xfId="0" applyNumberFormat="1" applyFont="1" applyFill="1" applyBorder="1" applyAlignment="1">
      <alignment/>
    </xf>
    <xf numFmtId="164" fontId="1" fillId="7" borderId="10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3" fillId="12" borderId="10" xfId="0" applyNumberFormat="1" applyFont="1" applyFill="1" applyBorder="1" applyAlignment="1">
      <alignment horizontal="left" wrapText="1"/>
    </xf>
    <xf numFmtId="0" fontId="3" fillId="35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3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64" fontId="1" fillId="9" borderId="1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 horizontal="right" vertical="top" wrapText="1"/>
    </xf>
    <xf numFmtId="164" fontId="12" fillId="35" borderId="10" xfId="0" applyNumberFormat="1" applyFont="1" applyFill="1" applyBorder="1" applyAlignment="1">
      <alignment/>
    </xf>
    <xf numFmtId="4" fontId="13" fillId="35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2" fontId="8" fillId="0" borderId="11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 vertical="top" wrapText="1"/>
    </xf>
    <xf numFmtId="2" fontId="8" fillId="0" borderId="11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/>
    </xf>
    <xf numFmtId="0" fontId="8" fillId="33" borderId="10" xfId="0" applyNumberFormat="1" applyFont="1" applyFill="1" applyBorder="1" applyAlignment="1">
      <alignment wrapText="1"/>
    </xf>
    <xf numFmtId="177" fontId="1" fillId="0" borderId="0" xfId="0" applyNumberFormat="1" applyFont="1" applyFill="1" applyBorder="1" applyAlignment="1">
      <alignment/>
    </xf>
    <xf numFmtId="177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32" borderId="10" xfId="0" applyFill="1" applyBorder="1" applyAlignment="1">
      <alignment horizontal="center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0" fontId="51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left" wrapText="1"/>
    </xf>
    <xf numFmtId="2" fontId="8" fillId="0" borderId="19" xfId="0" applyNumberFormat="1" applyFont="1" applyBorder="1" applyAlignment="1">
      <alignment horizontal="left" wrapText="1"/>
    </xf>
    <xf numFmtId="2" fontId="8" fillId="0" borderId="20" xfId="0" applyNumberFormat="1" applyFont="1" applyBorder="1" applyAlignment="1">
      <alignment horizontal="left" wrapText="1"/>
    </xf>
    <xf numFmtId="2" fontId="8" fillId="0" borderId="21" xfId="0" applyNumberFormat="1" applyFont="1" applyBorder="1" applyAlignment="1">
      <alignment horizontal="left" wrapText="1"/>
    </xf>
    <xf numFmtId="2" fontId="8" fillId="0" borderId="13" xfId="0" applyNumberFormat="1" applyFont="1" applyBorder="1" applyAlignment="1">
      <alignment horizontal="left" textRotation="90" wrapText="1"/>
    </xf>
    <xf numFmtId="2" fontId="8" fillId="0" borderId="22" xfId="0" applyNumberFormat="1" applyFont="1" applyBorder="1" applyAlignment="1">
      <alignment horizontal="left" textRotation="90" wrapText="1"/>
    </xf>
    <xf numFmtId="2" fontId="8" fillId="0" borderId="11" xfId="0" applyNumberFormat="1" applyFont="1" applyBorder="1" applyAlignment="1">
      <alignment horizontal="left" textRotation="90" wrapText="1"/>
    </xf>
    <xf numFmtId="2" fontId="9" fillId="0" borderId="13" xfId="0" applyNumberFormat="1" applyFont="1" applyBorder="1" applyAlignment="1">
      <alignment horizontal="center" wrapText="1"/>
    </xf>
    <xf numFmtId="2" fontId="9" fillId="0" borderId="22" xfId="0" applyNumberFormat="1" applyFont="1" applyBorder="1" applyAlignment="1">
      <alignment horizontal="center" wrapText="1"/>
    </xf>
    <xf numFmtId="2" fontId="9" fillId="0" borderId="11" xfId="0" applyNumberFormat="1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1" fillId="0" borderId="11" xfId="0" applyNumberFormat="1" applyFont="1" applyBorder="1" applyAlignment="1">
      <alignment horizontal="left" vertical="top" textRotation="90" wrapText="1"/>
    </xf>
    <xf numFmtId="2" fontId="3" fillId="0" borderId="13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2" fontId="1" fillId="0" borderId="13" xfId="0" applyNumberFormat="1" applyFont="1" applyBorder="1" applyAlignment="1">
      <alignment horizontal="left" textRotation="90" wrapText="1"/>
    </xf>
    <xf numFmtId="0" fontId="0" fillId="0" borderId="11" xfId="0" applyBorder="1" applyAlignment="1">
      <alignment horizontal="left"/>
    </xf>
    <xf numFmtId="2" fontId="8" fillId="0" borderId="14" xfId="0" applyNumberFormat="1" applyFont="1" applyBorder="1" applyAlignment="1">
      <alignment horizontal="left"/>
    </xf>
    <xf numFmtId="2" fontId="8" fillId="0" borderId="17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top" wrapText="1"/>
    </xf>
    <xf numFmtId="2" fontId="8" fillId="0" borderId="17" xfId="0" applyNumberFormat="1" applyFont="1" applyBorder="1" applyAlignment="1">
      <alignment horizontal="center" vertical="top" wrapText="1"/>
    </xf>
    <xf numFmtId="0" fontId="0" fillId="7" borderId="14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2" fillId="36" borderId="15" xfId="0" applyFont="1" applyFill="1" applyBorder="1" applyAlignment="1">
      <alignment horizontal="center" wrapText="1"/>
    </xf>
    <xf numFmtId="0" fontId="2" fillId="36" borderId="17" xfId="0" applyFont="1" applyFill="1" applyBorder="1" applyAlignment="1">
      <alignment horizontal="center" wrapText="1"/>
    </xf>
    <xf numFmtId="2" fontId="0" fillId="13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0" fontId="0" fillId="36" borderId="15" xfId="0" applyFont="1" applyFill="1" applyBorder="1" applyAlignment="1">
      <alignment horizontal="center" wrapText="1"/>
    </xf>
    <xf numFmtId="0" fontId="0" fillId="36" borderId="17" xfId="0" applyFont="1" applyFill="1" applyBorder="1" applyAlignment="1">
      <alignment horizontal="center" wrapText="1"/>
    </xf>
    <xf numFmtId="0" fontId="41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52" fillId="0" borderId="18" xfId="0" applyFont="1" applyBorder="1" applyAlignment="1">
      <alignment horizontal="center" wrapText="1"/>
    </xf>
    <xf numFmtId="0" fontId="52" fillId="0" borderId="23" xfId="0" applyFont="1" applyBorder="1" applyAlignment="1">
      <alignment horizontal="center" wrapText="1"/>
    </xf>
    <xf numFmtId="0" fontId="52" fillId="0" borderId="19" xfId="0" applyFont="1" applyBorder="1" applyAlignment="1">
      <alignment horizontal="center" wrapText="1"/>
    </xf>
    <xf numFmtId="0" fontId="52" fillId="0" borderId="20" xfId="0" applyFont="1" applyBorder="1" applyAlignment="1">
      <alignment horizontal="center" wrapText="1"/>
    </xf>
    <xf numFmtId="0" fontId="52" fillId="0" borderId="16" xfId="0" applyFont="1" applyBorder="1" applyAlignment="1">
      <alignment horizontal="center" wrapText="1"/>
    </xf>
    <xf numFmtId="0" fontId="52" fillId="0" borderId="2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32" borderId="14" xfId="0" applyFill="1" applyBorder="1" applyAlignment="1">
      <alignment horizontal="left" wrapText="1"/>
    </xf>
    <xf numFmtId="0" fontId="0" fillId="32" borderId="15" xfId="0" applyFill="1" applyBorder="1" applyAlignment="1">
      <alignment horizontal="left" wrapText="1"/>
    </xf>
    <xf numFmtId="0" fontId="0" fillId="32" borderId="17" xfId="0" applyFill="1" applyBorder="1" applyAlignment="1">
      <alignment horizontal="left" wrapText="1"/>
    </xf>
    <xf numFmtId="0" fontId="0" fillId="32" borderId="14" xfId="0" applyFill="1" applyBorder="1" applyAlignment="1">
      <alignment horizontal="center" wrapText="1"/>
    </xf>
    <xf numFmtId="0" fontId="0" fillId="32" borderId="15" xfId="0" applyFill="1" applyBorder="1" applyAlignment="1">
      <alignment horizontal="center" wrapText="1"/>
    </xf>
    <xf numFmtId="0" fontId="0" fillId="32" borderId="17" xfId="0" applyFill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7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52" fillId="0" borderId="14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164" fontId="9" fillId="0" borderId="23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4:S57"/>
  <sheetViews>
    <sheetView tabSelected="1" workbookViewId="0" topLeftCell="A10">
      <selection activeCell="J36" sqref="J36"/>
    </sheetView>
  </sheetViews>
  <sheetFormatPr defaultColWidth="9.00390625" defaultRowHeight="12.75"/>
  <cols>
    <col min="1" max="1" width="5.00390625" style="0" customWidth="1"/>
    <col min="2" max="2" width="9.75390625" style="0" customWidth="1"/>
    <col min="4" max="4" width="5.25390625" style="0" customWidth="1"/>
    <col min="5" max="5" width="10.00390625" style="0" customWidth="1"/>
    <col min="10" max="10" width="9.375" style="0" customWidth="1"/>
    <col min="11" max="12" width="9.125" style="0" hidden="1" customWidth="1"/>
    <col min="13" max="14" width="9.00390625" style="0" customWidth="1"/>
    <col min="15" max="15" width="9.125" style="0" customWidth="1"/>
    <col min="16" max="16" width="9.375" style="0" customWidth="1"/>
    <col min="17" max="18" width="8.875" style="0" customWidth="1"/>
    <col min="19" max="19" width="8.625" style="0" customWidth="1"/>
  </cols>
  <sheetData>
    <row r="1" ht="12.75" hidden="1"/>
    <row r="2" ht="12.75" hidden="1"/>
    <row r="3" ht="12.75" hidden="1"/>
    <row r="4" spans="1:19" ht="15" customHeight="1">
      <c r="A4" s="68" t="s">
        <v>69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1:19" ht="12.75" hidden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19" ht="12.75">
      <c r="A6" s="69"/>
      <c r="B6" s="60"/>
      <c r="C6" s="60"/>
      <c r="D6" s="60"/>
      <c r="E6" s="61"/>
      <c r="F6" s="62" t="s">
        <v>16</v>
      </c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1"/>
    </row>
    <row r="7" spans="1:19" ht="12.75">
      <c r="A7" s="7"/>
      <c r="B7" s="70" t="s">
        <v>17</v>
      </c>
      <c r="C7" s="70"/>
      <c r="D7" s="70"/>
      <c r="E7" s="70"/>
      <c r="F7" s="71" t="s">
        <v>4</v>
      </c>
      <c r="G7" s="72"/>
      <c r="H7" s="72"/>
      <c r="I7" s="72"/>
      <c r="J7" s="72"/>
      <c r="K7" s="72"/>
      <c r="L7" s="72"/>
      <c r="M7" s="72"/>
      <c r="N7" s="72"/>
      <c r="O7" s="73"/>
      <c r="P7" s="74" t="s">
        <v>18</v>
      </c>
      <c r="Q7" s="75"/>
      <c r="R7" s="78" t="s">
        <v>19</v>
      </c>
      <c r="S7" s="81" t="s">
        <v>8</v>
      </c>
    </row>
    <row r="8" spans="1:19" ht="12.75">
      <c r="A8" s="8"/>
      <c r="B8" s="66" t="s">
        <v>20</v>
      </c>
      <c r="C8" s="66" t="s">
        <v>6</v>
      </c>
      <c r="D8" s="66" t="s">
        <v>21</v>
      </c>
      <c r="E8" s="86" t="s">
        <v>5</v>
      </c>
      <c r="F8" s="84" t="s">
        <v>22</v>
      </c>
      <c r="G8" s="84" t="s">
        <v>23</v>
      </c>
      <c r="H8" s="84" t="s">
        <v>24</v>
      </c>
      <c r="I8" s="84" t="s">
        <v>25</v>
      </c>
      <c r="J8" s="84" t="s">
        <v>26</v>
      </c>
      <c r="K8" s="84" t="s">
        <v>27</v>
      </c>
      <c r="L8" s="84" t="s">
        <v>28</v>
      </c>
      <c r="M8" s="84" t="s">
        <v>29</v>
      </c>
      <c r="N8" s="84" t="s">
        <v>30</v>
      </c>
      <c r="O8" s="89" t="s">
        <v>31</v>
      </c>
      <c r="P8" s="76"/>
      <c r="Q8" s="77"/>
      <c r="R8" s="79"/>
      <c r="S8" s="82"/>
    </row>
    <row r="9" spans="1:19" ht="81.75" customHeight="1">
      <c r="A9" s="10"/>
      <c r="B9" s="67"/>
      <c r="C9" s="67"/>
      <c r="D9" s="67"/>
      <c r="E9" s="87"/>
      <c r="F9" s="88"/>
      <c r="G9" s="85"/>
      <c r="H9" s="85"/>
      <c r="I9" s="85"/>
      <c r="J9" s="85"/>
      <c r="K9" s="85"/>
      <c r="L9" s="85"/>
      <c r="M9" s="85"/>
      <c r="N9" s="85"/>
      <c r="O9" s="90"/>
      <c r="P9" s="9" t="s">
        <v>32</v>
      </c>
      <c r="Q9" s="9" t="s">
        <v>33</v>
      </c>
      <c r="R9" s="80"/>
      <c r="S9" s="83"/>
    </row>
    <row r="10" spans="1:19" ht="12.75">
      <c r="A10" s="55">
        <v>2015</v>
      </c>
      <c r="B10" s="4">
        <v>8.79</v>
      </c>
      <c r="C10" s="4">
        <v>2.93</v>
      </c>
      <c r="D10" s="4">
        <v>1</v>
      </c>
      <c r="E10" s="11">
        <f>B10+C10+D10</f>
        <v>12.719999999999999</v>
      </c>
      <c r="F10" s="12">
        <v>1</v>
      </c>
      <c r="G10" s="14">
        <v>2.05</v>
      </c>
      <c r="H10" s="14">
        <v>1.46</v>
      </c>
      <c r="I10" s="14">
        <v>0</v>
      </c>
      <c r="J10" s="14">
        <v>1.5</v>
      </c>
      <c r="K10" s="14">
        <v>0</v>
      </c>
      <c r="L10" s="14">
        <v>0</v>
      </c>
      <c r="M10" s="14">
        <v>1.69</v>
      </c>
      <c r="N10" s="14">
        <v>0</v>
      </c>
      <c r="O10" s="15">
        <f>SUM(F10:N10)</f>
        <v>7.699999999999999</v>
      </c>
      <c r="P10" s="91">
        <v>3.16</v>
      </c>
      <c r="Q10" s="92"/>
      <c r="R10" s="16">
        <v>1.04</v>
      </c>
      <c r="S10" s="13">
        <f>SUM(O10:R10)</f>
        <v>11.899999999999999</v>
      </c>
    </row>
    <row r="11" spans="1:19" ht="12.75">
      <c r="A11" s="56">
        <v>2016</v>
      </c>
      <c r="B11" s="17">
        <v>10.5</v>
      </c>
      <c r="C11" s="17">
        <v>3</v>
      </c>
      <c r="D11" s="17">
        <v>1.5</v>
      </c>
      <c r="E11" s="18">
        <f>SUM(B11:D11)</f>
        <v>15</v>
      </c>
      <c r="F11" s="48">
        <v>1.2</v>
      </c>
      <c r="G11" s="48">
        <v>2.05</v>
      </c>
      <c r="H11" s="48">
        <v>1.6</v>
      </c>
      <c r="I11" s="48">
        <v>0.25</v>
      </c>
      <c r="J11" s="48">
        <v>1.5</v>
      </c>
      <c r="K11" s="48">
        <v>0</v>
      </c>
      <c r="L11" s="48">
        <v>0</v>
      </c>
      <c r="M11" s="48">
        <v>2</v>
      </c>
      <c r="N11" s="48">
        <v>1.9</v>
      </c>
      <c r="O11" s="52">
        <f>SUM(F11:N11)</f>
        <v>10.5</v>
      </c>
      <c r="P11" s="53">
        <v>1.5</v>
      </c>
      <c r="Q11" s="53">
        <v>1.5</v>
      </c>
      <c r="R11" s="54">
        <v>1.5</v>
      </c>
      <c r="S11" s="19">
        <f>SUM(O11:R11)</f>
        <v>15</v>
      </c>
    </row>
    <row r="12" spans="1:19" ht="15.75" customHeight="1">
      <c r="A12" s="93" t="s">
        <v>34</v>
      </c>
      <c r="B12" s="93"/>
      <c r="C12" s="93"/>
      <c r="D12" s="93"/>
      <c r="E12" s="20">
        <v>5138.4</v>
      </c>
      <c r="F12" s="94" t="s">
        <v>35</v>
      </c>
      <c r="G12" s="95"/>
      <c r="H12" s="95"/>
      <c r="I12" s="95"/>
      <c r="J12" s="95"/>
      <c r="K12" s="95"/>
      <c r="L12" s="95"/>
      <c r="M12" s="95"/>
      <c r="N12" s="96"/>
      <c r="O12" s="19"/>
      <c r="P12" s="97" t="s">
        <v>36</v>
      </c>
      <c r="Q12" s="98"/>
      <c r="R12" s="19" t="s">
        <v>37</v>
      </c>
      <c r="S12" s="19"/>
    </row>
    <row r="13" spans="1:19" ht="12.75">
      <c r="A13" s="99" t="s">
        <v>38</v>
      </c>
      <c r="B13" s="100"/>
      <c r="C13" s="100"/>
      <c r="D13" s="100"/>
      <c r="E13" s="101"/>
      <c r="F13" s="21">
        <f>E12*F11</f>
        <v>6166.079999999999</v>
      </c>
      <c r="G13" s="21">
        <f>E12*G11</f>
        <v>10533.719999999998</v>
      </c>
      <c r="H13" s="21">
        <f>E12*H11</f>
        <v>8221.44</v>
      </c>
      <c r="I13" s="21">
        <f>E12*I11</f>
        <v>1284.6</v>
      </c>
      <c r="J13" s="21">
        <f>E12*J11</f>
        <v>7707.599999999999</v>
      </c>
      <c r="K13" s="21">
        <f>SUM(K11*2487)</f>
        <v>0</v>
      </c>
      <c r="L13" s="21">
        <f>SUM(L11*2487)</f>
        <v>0</v>
      </c>
      <c r="M13" s="21">
        <f>E12*M11</f>
        <v>10276.8</v>
      </c>
      <c r="N13" s="21">
        <f>E12*N11</f>
        <v>9762.96</v>
      </c>
      <c r="O13" s="21">
        <f>SUM(F13:N13)</f>
        <v>53953.19999999999</v>
      </c>
      <c r="P13" s="21">
        <f>E12*P11</f>
        <v>7707.599999999999</v>
      </c>
      <c r="Q13" s="21">
        <f>E12*Q11</f>
        <v>7707.599999999999</v>
      </c>
      <c r="R13" s="21">
        <f>E12*R11</f>
        <v>7707.599999999999</v>
      </c>
      <c r="S13" s="21">
        <f>O13+P13+Q13+R13</f>
        <v>77076</v>
      </c>
    </row>
    <row r="14" spans="1:19" ht="12.75">
      <c r="A14" s="102" t="s">
        <v>39</v>
      </c>
      <c r="B14" s="102"/>
      <c r="C14" s="102"/>
      <c r="D14" s="102"/>
      <c r="E14" s="103"/>
      <c r="F14" s="104" t="s">
        <v>40</v>
      </c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6"/>
    </row>
    <row r="15" spans="1:19" ht="12.75">
      <c r="A15" s="107" t="s">
        <v>41</v>
      </c>
      <c r="B15" s="107"/>
      <c r="C15" s="107"/>
      <c r="D15" s="108"/>
      <c r="E15" s="22">
        <v>-35434.65</v>
      </c>
      <c r="F15" s="23"/>
      <c r="G15" s="24"/>
      <c r="H15" s="25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6"/>
    </row>
    <row r="16" spans="1:19" ht="12.75">
      <c r="A16" s="27" t="s">
        <v>42</v>
      </c>
      <c r="B16" s="28">
        <f>30357.64+6353.06+614.81</f>
        <v>37325.509999999995</v>
      </c>
      <c r="C16" s="28">
        <f>9978.45+1967.52+184</f>
        <v>12129.970000000001</v>
      </c>
      <c r="D16" s="28">
        <v>0</v>
      </c>
      <c r="E16" s="29">
        <f aca="true" t="shared" si="0" ref="E16:E27">B16+C16+D16</f>
        <v>49455.479999999996</v>
      </c>
      <c r="F16" s="30">
        <f aca="true" t="shared" si="1" ref="F16:F27">5138.4*1.2</f>
        <v>6166.079999999999</v>
      </c>
      <c r="G16" s="30">
        <f aca="true" t="shared" si="2" ref="G16:G27">5138.4*2.05</f>
        <v>10533.719999999998</v>
      </c>
      <c r="H16" s="31">
        <f aca="true" t="shared" si="3" ref="H16:H27">5138.4*1.6</f>
        <v>8221.44</v>
      </c>
      <c r="I16" s="30">
        <f aca="true" t="shared" si="4" ref="I16:I24">5138.4*0.1</f>
        <v>513.84</v>
      </c>
      <c r="J16" s="30">
        <f aca="true" t="shared" si="5" ref="J16:J27">5138.4*1.5</f>
        <v>7707.599999999999</v>
      </c>
      <c r="K16" s="30">
        <v>0</v>
      </c>
      <c r="L16" s="30">
        <v>0</v>
      </c>
      <c r="M16" s="30">
        <f aca="true" t="shared" si="6" ref="M16:M27">5138.4*2</f>
        <v>10276.8</v>
      </c>
      <c r="N16" s="30">
        <v>0</v>
      </c>
      <c r="O16" s="46">
        <f aca="true" t="shared" si="7" ref="O16:O27">SUM(F16:N16)</f>
        <v>43419.479999999996</v>
      </c>
      <c r="P16" s="32">
        <v>871</v>
      </c>
      <c r="Q16" s="32">
        <v>15795</v>
      </c>
      <c r="R16" s="30">
        <f aca="true" t="shared" si="8" ref="R16:R27">5138.4*1.5</f>
        <v>7707.599999999999</v>
      </c>
      <c r="S16" s="33">
        <f aca="true" t="shared" si="9" ref="S16:S27">O16+P16+Q16+R16</f>
        <v>67793.08</v>
      </c>
    </row>
    <row r="17" spans="1:19" ht="12.75">
      <c r="A17" s="27" t="s">
        <v>43</v>
      </c>
      <c r="B17" s="28">
        <f>32706.24+10546.11+600</f>
        <v>43852.350000000006</v>
      </c>
      <c r="C17" s="28">
        <f>10482.03+3156.5+179.61</f>
        <v>13818.140000000001</v>
      </c>
      <c r="D17" s="28">
        <v>0</v>
      </c>
      <c r="E17" s="29">
        <f t="shared" si="0"/>
        <v>57670.490000000005</v>
      </c>
      <c r="F17" s="30">
        <f t="shared" si="1"/>
        <v>6166.079999999999</v>
      </c>
      <c r="G17" s="30">
        <f t="shared" si="2"/>
        <v>10533.719999999998</v>
      </c>
      <c r="H17" s="31">
        <f t="shared" si="3"/>
        <v>8221.44</v>
      </c>
      <c r="I17" s="30">
        <f t="shared" si="4"/>
        <v>513.84</v>
      </c>
      <c r="J17" s="30">
        <f t="shared" si="5"/>
        <v>7707.599999999999</v>
      </c>
      <c r="K17" s="30">
        <v>0</v>
      </c>
      <c r="L17" s="30">
        <v>0</v>
      </c>
      <c r="M17" s="30">
        <f t="shared" si="6"/>
        <v>10276.8</v>
      </c>
      <c r="N17" s="30">
        <v>1200</v>
      </c>
      <c r="O17" s="46">
        <f t="shared" si="7"/>
        <v>44619.479999999996</v>
      </c>
      <c r="P17" s="32">
        <f>410+2130</f>
        <v>2540</v>
      </c>
      <c r="Q17" s="32">
        <v>0</v>
      </c>
      <c r="R17" s="30">
        <f t="shared" si="8"/>
        <v>7707.599999999999</v>
      </c>
      <c r="S17" s="33">
        <f t="shared" si="9"/>
        <v>54867.079999999994</v>
      </c>
    </row>
    <row r="18" spans="1:19" ht="12.75">
      <c r="A18" s="27" t="s">
        <v>0</v>
      </c>
      <c r="B18" s="28">
        <f>31877.85+9318.4+2104.85</f>
        <v>43301.1</v>
      </c>
      <c r="C18" s="28">
        <f>10258.94+2878.73+629.95</f>
        <v>13767.62</v>
      </c>
      <c r="D18" s="28">
        <v>0</v>
      </c>
      <c r="E18" s="29">
        <f t="shared" si="0"/>
        <v>57068.72</v>
      </c>
      <c r="F18" s="30">
        <f t="shared" si="1"/>
        <v>6166.079999999999</v>
      </c>
      <c r="G18" s="30">
        <f t="shared" si="2"/>
        <v>10533.719999999998</v>
      </c>
      <c r="H18" s="31">
        <f t="shared" si="3"/>
        <v>8221.44</v>
      </c>
      <c r="I18" s="30">
        <f t="shared" si="4"/>
        <v>513.84</v>
      </c>
      <c r="J18" s="30">
        <f t="shared" si="5"/>
        <v>7707.599999999999</v>
      </c>
      <c r="K18" s="30">
        <v>0</v>
      </c>
      <c r="L18" s="30">
        <v>0</v>
      </c>
      <c r="M18" s="30">
        <f t="shared" si="6"/>
        <v>10276.8</v>
      </c>
      <c r="N18" s="30">
        <v>0</v>
      </c>
      <c r="O18" s="46">
        <f t="shared" si="7"/>
        <v>43419.479999999996</v>
      </c>
      <c r="P18" s="32">
        <v>0</v>
      </c>
      <c r="Q18" s="32">
        <v>0</v>
      </c>
      <c r="R18" s="30">
        <f t="shared" si="8"/>
        <v>7707.599999999999</v>
      </c>
      <c r="S18" s="33">
        <f t="shared" si="9"/>
        <v>51127.079999999994</v>
      </c>
    </row>
    <row r="19" spans="1:19" ht="12.75">
      <c r="A19" s="27" t="s">
        <v>44</v>
      </c>
      <c r="B19" s="28">
        <f>46116.92+6194.14</f>
        <v>52311.06</v>
      </c>
      <c r="C19" s="28">
        <f>14967.37+1852.91</f>
        <v>16820.280000000002</v>
      </c>
      <c r="D19" s="28">
        <v>0</v>
      </c>
      <c r="E19" s="29">
        <f t="shared" si="0"/>
        <v>69131.34</v>
      </c>
      <c r="F19" s="30">
        <f t="shared" si="1"/>
        <v>6166.079999999999</v>
      </c>
      <c r="G19" s="30">
        <f t="shared" si="2"/>
        <v>10533.719999999998</v>
      </c>
      <c r="H19" s="31">
        <f t="shared" si="3"/>
        <v>8221.44</v>
      </c>
      <c r="I19" s="30">
        <f t="shared" si="4"/>
        <v>513.84</v>
      </c>
      <c r="J19" s="30">
        <f t="shared" si="5"/>
        <v>7707.599999999999</v>
      </c>
      <c r="K19" s="30">
        <f>5138.4*1.5</f>
        <v>7707.599999999999</v>
      </c>
      <c r="L19" s="30">
        <f>5138.4*1.5</f>
        <v>7707.599999999999</v>
      </c>
      <c r="M19" s="30">
        <f t="shared" si="6"/>
        <v>10276.8</v>
      </c>
      <c r="N19" s="30">
        <v>4356</v>
      </c>
      <c r="O19" s="46">
        <f t="shared" si="7"/>
        <v>63190.67999999999</v>
      </c>
      <c r="P19" s="32">
        <v>0</v>
      </c>
      <c r="Q19" s="32">
        <v>0</v>
      </c>
      <c r="R19" s="30">
        <f t="shared" si="8"/>
        <v>7707.599999999999</v>
      </c>
      <c r="S19" s="33">
        <f t="shared" si="9"/>
        <v>70898.28</v>
      </c>
    </row>
    <row r="20" spans="1:19" ht="12.75">
      <c r="A20" s="27" t="s">
        <v>1</v>
      </c>
      <c r="B20" s="28">
        <f>28181.48+9567.8</f>
        <v>37749.28</v>
      </c>
      <c r="C20" s="28">
        <f>9062.8+2686.85</f>
        <v>11749.65</v>
      </c>
      <c r="D20" s="28">
        <v>0</v>
      </c>
      <c r="E20" s="29">
        <f t="shared" si="0"/>
        <v>49498.93</v>
      </c>
      <c r="F20" s="30">
        <f t="shared" si="1"/>
        <v>6166.079999999999</v>
      </c>
      <c r="G20" s="30">
        <f t="shared" si="2"/>
        <v>10533.719999999998</v>
      </c>
      <c r="H20" s="31">
        <f t="shared" si="3"/>
        <v>8221.44</v>
      </c>
      <c r="I20" s="30">
        <f t="shared" si="4"/>
        <v>513.84</v>
      </c>
      <c r="J20" s="30">
        <f t="shared" si="5"/>
        <v>7707.599999999999</v>
      </c>
      <c r="K20" s="30"/>
      <c r="L20" s="30"/>
      <c r="M20" s="30">
        <f t="shared" si="6"/>
        <v>10276.8</v>
      </c>
      <c r="N20" s="30">
        <v>0</v>
      </c>
      <c r="O20" s="46">
        <f t="shared" si="7"/>
        <v>43419.479999999996</v>
      </c>
      <c r="P20" s="32">
        <f>10000+6417</f>
        <v>16417</v>
      </c>
      <c r="Q20" s="32">
        <v>0</v>
      </c>
      <c r="R20" s="30">
        <f t="shared" si="8"/>
        <v>7707.599999999999</v>
      </c>
      <c r="S20" s="33">
        <f t="shared" si="9"/>
        <v>67544.08</v>
      </c>
    </row>
    <row r="21" spans="1:19" ht="12.75">
      <c r="A21" s="27" t="s">
        <v>2</v>
      </c>
      <c r="B21" s="28">
        <f>32861.22+9847.79</f>
        <v>42709.01</v>
      </c>
      <c r="C21" s="28">
        <f>11613.34+3121.93</f>
        <v>14735.27</v>
      </c>
      <c r="D21" s="28">
        <v>0</v>
      </c>
      <c r="E21" s="29">
        <f t="shared" si="0"/>
        <v>57444.28</v>
      </c>
      <c r="F21" s="30">
        <f t="shared" si="1"/>
        <v>6166.079999999999</v>
      </c>
      <c r="G21" s="30">
        <f t="shared" si="2"/>
        <v>10533.719999999998</v>
      </c>
      <c r="H21" s="31">
        <f t="shared" si="3"/>
        <v>8221.44</v>
      </c>
      <c r="I21" s="30">
        <f t="shared" si="4"/>
        <v>513.84</v>
      </c>
      <c r="J21" s="30">
        <f t="shared" si="5"/>
        <v>7707.599999999999</v>
      </c>
      <c r="K21" s="30"/>
      <c r="L21" s="30"/>
      <c r="M21" s="30">
        <f t="shared" si="6"/>
        <v>10276.8</v>
      </c>
      <c r="N21" s="30">
        <v>0</v>
      </c>
      <c r="O21" s="46">
        <f t="shared" si="7"/>
        <v>43419.479999999996</v>
      </c>
      <c r="P21" s="32">
        <v>0</v>
      </c>
      <c r="Q21" s="32">
        <v>21241</v>
      </c>
      <c r="R21" s="30">
        <f t="shared" si="8"/>
        <v>7707.599999999999</v>
      </c>
      <c r="S21" s="33">
        <f t="shared" si="9"/>
        <v>72368.08</v>
      </c>
    </row>
    <row r="22" spans="1:19" ht="12.75">
      <c r="A22" s="27" t="s">
        <v>3</v>
      </c>
      <c r="B22" s="28">
        <f>41420.56+8468.77</f>
        <v>49889.33</v>
      </c>
      <c r="C22" s="28">
        <f>13020.66+2370.06</f>
        <v>15390.72</v>
      </c>
      <c r="D22" s="28">
        <v>0</v>
      </c>
      <c r="E22" s="29">
        <f t="shared" si="0"/>
        <v>65280.05</v>
      </c>
      <c r="F22" s="30">
        <f t="shared" si="1"/>
        <v>6166.079999999999</v>
      </c>
      <c r="G22" s="30">
        <f t="shared" si="2"/>
        <v>10533.719999999998</v>
      </c>
      <c r="H22" s="31">
        <f t="shared" si="3"/>
        <v>8221.44</v>
      </c>
      <c r="I22" s="30">
        <f t="shared" si="4"/>
        <v>513.84</v>
      </c>
      <c r="J22" s="30">
        <f t="shared" si="5"/>
        <v>7707.599999999999</v>
      </c>
      <c r="K22" s="30"/>
      <c r="L22" s="30"/>
      <c r="M22" s="30">
        <f t="shared" si="6"/>
        <v>10276.8</v>
      </c>
      <c r="N22" s="30">
        <v>0</v>
      </c>
      <c r="O22" s="46">
        <f t="shared" si="7"/>
        <v>43419.479999999996</v>
      </c>
      <c r="P22" s="32">
        <v>0</v>
      </c>
      <c r="Q22" s="32">
        <v>0</v>
      </c>
      <c r="R22" s="30">
        <f t="shared" si="8"/>
        <v>7707.599999999999</v>
      </c>
      <c r="S22" s="33">
        <f t="shared" si="9"/>
        <v>51127.079999999994</v>
      </c>
    </row>
    <row r="23" spans="1:19" ht="12.75">
      <c r="A23" s="27" t="s">
        <v>10</v>
      </c>
      <c r="B23" s="28">
        <f>46985.39+12744.2</f>
        <v>59729.59</v>
      </c>
      <c r="C23" s="28">
        <f>12494.49+3351.23</f>
        <v>15845.72</v>
      </c>
      <c r="D23" s="28">
        <v>0</v>
      </c>
      <c r="E23" s="29">
        <f t="shared" si="0"/>
        <v>75575.31</v>
      </c>
      <c r="F23" s="30">
        <f t="shared" si="1"/>
        <v>6166.079999999999</v>
      </c>
      <c r="G23" s="30">
        <f t="shared" si="2"/>
        <v>10533.719999999998</v>
      </c>
      <c r="H23" s="31">
        <f t="shared" si="3"/>
        <v>8221.44</v>
      </c>
      <c r="I23" s="30">
        <f t="shared" si="4"/>
        <v>513.84</v>
      </c>
      <c r="J23" s="30">
        <f t="shared" si="5"/>
        <v>7707.599999999999</v>
      </c>
      <c r="K23" s="30"/>
      <c r="L23" s="30"/>
      <c r="M23" s="30">
        <f t="shared" si="6"/>
        <v>10276.8</v>
      </c>
      <c r="N23" s="30">
        <f>6718+5733+755+6607</f>
        <v>19813</v>
      </c>
      <c r="O23" s="46">
        <f t="shared" si="7"/>
        <v>63232.479999999996</v>
      </c>
      <c r="P23" s="32">
        <f>410+410+2451+27430+410+704</f>
        <v>31815</v>
      </c>
      <c r="Q23" s="32">
        <v>14978</v>
      </c>
      <c r="R23" s="30">
        <f t="shared" si="8"/>
        <v>7707.599999999999</v>
      </c>
      <c r="S23" s="33">
        <f t="shared" si="9"/>
        <v>117733.08</v>
      </c>
    </row>
    <row r="24" spans="1:19" ht="12.75">
      <c r="A24" s="27" t="s">
        <v>45</v>
      </c>
      <c r="B24" s="28">
        <f>38991.51+15215.5</f>
        <v>54207.01</v>
      </c>
      <c r="C24" s="28">
        <f>10936.04+3986.92</f>
        <v>14922.960000000001</v>
      </c>
      <c r="D24" s="28">
        <v>0</v>
      </c>
      <c r="E24" s="29">
        <f t="shared" si="0"/>
        <v>69129.97</v>
      </c>
      <c r="F24" s="30">
        <f t="shared" si="1"/>
        <v>6166.079999999999</v>
      </c>
      <c r="G24" s="30">
        <f t="shared" si="2"/>
        <v>10533.719999999998</v>
      </c>
      <c r="H24" s="31">
        <f t="shared" si="3"/>
        <v>8221.44</v>
      </c>
      <c r="I24" s="30">
        <f t="shared" si="4"/>
        <v>513.84</v>
      </c>
      <c r="J24" s="30">
        <f t="shared" si="5"/>
        <v>7707.599999999999</v>
      </c>
      <c r="K24" s="30"/>
      <c r="L24" s="30"/>
      <c r="M24" s="30">
        <f t="shared" si="6"/>
        <v>10276.8</v>
      </c>
      <c r="N24" s="30">
        <v>0</v>
      </c>
      <c r="O24" s="46">
        <f t="shared" si="7"/>
        <v>43419.479999999996</v>
      </c>
      <c r="P24" s="32">
        <v>85160</v>
      </c>
      <c r="Q24" s="32">
        <v>6410</v>
      </c>
      <c r="R24" s="30">
        <f t="shared" si="8"/>
        <v>7707.599999999999</v>
      </c>
      <c r="S24" s="33">
        <f t="shared" si="9"/>
        <v>142697.08</v>
      </c>
    </row>
    <row r="25" spans="1:19" ht="12.75">
      <c r="A25" s="27" t="s">
        <v>46</v>
      </c>
      <c r="B25" s="28">
        <f>44732.78+12064.71</f>
        <v>56797.49</v>
      </c>
      <c r="C25" s="28">
        <f>11696.4+3145.17</f>
        <v>14841.57</v>
      </c>
      <c r="D25" s="28">
        <v>0</v>
      </c>
      <c r="E25" s="29">
        <f t="shared" si="0"/>
        <v>71639.06</v>
      </c>
      <c r="F25" s="30">
        <f t="shared" si="1"/>
        <v>6166.079999999999</v>
      </c>
      <c r="G25" s="30">
        <f t="shared" si="2"/>
        <v>10533.719999999998</v>
      </c>
      <c r="H25" s="31">
        <f t="shared" si="3"/>
        <v>8221.44</v>
      </c>
      <c r="I25" s="30">
        <v>1900</v>
      </c>
      <c r="J25" s="30">
        <f t="shared" si="5"/>
        <v>7707.599999999999</v>
      </c>
      <c r="K25" s="30"/>
      <c r="L25" s="30"/>
      <c r="M25" s="30">
        <f t="shared" si="6"/>
        <v>10276.8</v>
      </c>
      <c r="N25" s="30">
        <v>2480.96</v>
      </c>
      <c r="O25" s="46">
        <f t="shared" si="7"/>
        <v>47286.6</v>
      </c>
      <c r="P25" s="32">
        <f>1033+425+425+329+1291+419</f>
        <v>3922</v>
      </c>
      <c r="Q25" s="32">
        <v>0</v>
      </c>
      <c r="R25" s="30">
        <f t="shared" si="8"/>
        <v>7707.599999999999</v>
      </c>
      <c r="S25" s="33">
        <f t="shared" si="9"/>
        <v>58916.2</v>
      </c>
    </row>
    <row r="26" spans="1:19" ht="12.75">
      <c r="A26" s="27" t="s">
        <v>47</v>
      </c>
      <c r="B26" s="28">
        <f>42578.8+14752.8</f>
        <v>57331.600000000006</v>
      </c>
      <c r="C26" s="28">
        <f>11261.8+3738.2</f>
        <v>15000</v>
      </c>
      <c r="D26" s="28">
        <v>0</v>
      </c>
      <c r="E26" s="29">
        <f t="shared" si="0"/>
        <v>72331.6</v>
      </c>
      <c r="F26" s="30">
        <f t="shared" si="1"/>
        <v>6166.079999999999</v>
      </c>
      <c r="G26" s="30">
        <f t="shared" si="2"/>
        <v>10533.719999999998</v>
      </c>
      <c r="H26" s="31">
        <f t="shared" si="3"/>
        <v>8221.44</v>
      </c>
      <c r="I26" s="30">
        <v>2800</v>
      </c>
      <c r="J26" s="30">
        <f t="shared" si="5"/>
        <v>7707.599999999999</v>
      </c>
      <c r="K26" s="30"/>
      <c r="L26" s="30"/>
      <c r="M26" s="30">
        <f t="shared" si="6"/>
        <v>10276.8</v>
      </c>
      <c r="N26" s="30">
        <v>0</v>
      </c>
      <c r="O26" s="46">
        <f t="shared" si="7"/>
        <v>45705.64</v>
      </c>
      <c r="P26" s="32">
        <v>698</v>
      </c>
      <c r="Q26" s="32">
        <v>0</v>
      </c>
      <c r="R26" s="30">
        <f t="shared" si="8"/>
        <v>7707.599999999999</v>
      </c>
      <c r="S26" s="33">
        <f t="shared" si="9"/>
        <v>54111.24</v>
      </c>
    </row>
    <row r="27" spans="1:19" ht="12.75">
      <c r="A27" s="27" t="s">
        <v>48</v>
      </c>
      <c r="B27" s="28">
        <f>51488.28+13837.2+7610.64</f>
        <v>72936.12</v>
      </c>
      <c r="C27" s="28">
        <f>12955.21+3609.3</f>
        <v>16564.51</v>
      </c>
      <c r="D27" s="28">
        <v>0</v>
      </c>
      <c r="E27" s="29">
        <f t="shared" si="0"/>
        <v>89500.62999999999</v>
      </c>
      <c r="F27" s="30">
        <f t="shared" si="1"/>
        <v>6166.079999999999</v>
      </c>
      <c r="G27" s="30">
        <f t="shared" si="2"/>
        <v>10533.719999999998</v>
      </c>
      <c r="H27" s="31">
        <f t="shared" si="3"/>
        <v>8221.44</v>
      </c>
      <c r="I27" s="30">
        <v>2800</v>
      </c>
      <c r="J27" s="30">
        <f t="shared" si="5"/>
        <v>7707.599999999999</v>
      </c>
      <c r="K27" s="30"/>
      <c r="L27" s="30"/>
      <c r="M27" s="30">
        <f t="shared" si="6"/>
        <v>10276.8</v>
      </c>
      <c r="N27" s="30">
        <v>0</v>
      </c>
      <c r="O27" s="46">
        <f t="shared" si="7"/>
        <v>45705.64</v>
      </c>
      <c r="P27" s="32">
        <v>1282</v>
      </c>
      <c r="Q27" s="32">
        <v>0</v>
      </c>
      <c r="R27" s="30">
        <f t="shared" si="8"/>
        <v>7707.599999999999</v>
      </c>
      <c r="S27" s="33">
        <f t="shared" si="9"/>
        <v>54695.24</v>
      </c>
    </row>
    <row r="28" spans="1:19" ht="36">
      <c r="A28" s="34" t="s">
        <v>49</v>
      </c>
      <c r="B28" s="28">
        <f>1800+1800+1800+1800</f>
        <v>7200</v>
      </c>
      <c r="C28" s="28">
        <v>0</v>
      </c>
      <c r="D28" s="28">
        <v>0</v>
      </c>
      <c r="E28" s="28">
        <f>B28+C28+D28</f>
        <v>7200</v>
      </c>
      <c r="F28" s="30"/>
      <c r="G28" s="30"/>
      <c r="H28" s="30"/>
      <c r="I28" s="30"/>
      <c r="J28" s="30"/>
      <c r="K28" s="30"/>
      <c r="L28" s="30"/>
      <c r="M28" s="30"/>
      <c r="N28" s="30"/>
      <c r="O28" s="46"/>
      <c r="P28" s="32"/>
      <c r="Q28" s="32"/>
      <c r="R28" s="30"/>
      <c r="S28" s="33"/>
    </row>
    <row r="29" spans="1:19" ht="24">
      <c r="A29" s="34" t="s">
        <v>13</v>
      </c>
      <c r="B29" s="28">
        <f>3000+2700+6367.28</f>
        <v>12067.279999999999</v>
      </c>
      <c r="C29" s="28">
        <v>0</v>
      </c>
      <c r="D29" s="28">
        <v>0</v>
      </c>
      <c r="E29" s="28">
        <f>B29+C29+D29</f>
        <v>12067.279999999999</v>
      </c>
      <c r="F29" s="30"/>
      <c r="G29" s="30"/>
      <c r="H29" s="30"/>
      <c r="I29" s="30"/>
      <c r="J29" s="30"/>
      <c r="K29" s="30"/>
      <c r="L29" s="30"/>
      <c r="M29" s="30"/>
      <c r="N29" s="30"/>
      <c r="O29" s="46"/>
      <c r="P29" s="32"/>
      <c r="Q29" s="32"/>
      <c r="R29" s="30"/>
      <c r="S29" s="33"/>
    </row>
    <row r="30" spans="1:19" ht="36">
      <c r="A30" s="34" t="s">
        <v>15</v>
      </c>
      <c r="B30" s="28">
        <f>3198.96+4798.44+4798.44+4798.44</f>
        <v>17594.28</v>
      </c>
      <c r="C30" s="28">
        <v>0</v>
      </c>
      <c r="D30" s="28">
        <v>0</v>
      </c>
      <c r="E30" s="28">
        <f>B30+C30+D30</f>
        <v>17594.28</v>
      </c>
      <c r="F30" s="30"/>
      <c r="G30" s="30"/>
      <c r="H30" s="30"/>
      <c r="I30" s="30"/>
      <c r="J30" s="30"/>
      <c r="K30" s="30"/>
      <c r="L30" s="30"/>
      <c r="M30" s="30"/>
      <c r="N30" s="30"/>
      <c r="O30" s="46"/>
      <c r="P30" s="32"/>
      <c r="Q30" s="32"/>
      <c r="R30" s="30"/>
      <c r="S30" s="33"/>
    </row>
    <row r="31" spans="1:19" ht="12.75">
      <c r="A31" s="35" t="s">
        <v>5</v>
      </c>
      <c r="B31" s="49">
        <f>SUM(B16:B30)</f>
        <v>645001.01</v>
      </c>
      <c r="C31" s="49">
        <f>SUM(C16:C30)</f>
        <v>175586.41000000003</v>
      </c>
      <c r="D31" s="49">
        <f>SUM(D16:D30)</f>
        <v>0</v>
      </c>
      <c r="E31" s="49">
        <f>SUM(E15:E30)</f>
        <v>785152.77</v>
      </c>
      <c r="F31" s="49">
        <f>SUM(F16:F30)</f>
        <v>73992.96</v>
      </c>
      <c r="G31" s="49">
        <f>SUM(G16:G30)</f>
        <v>126404.64</v>
      </c>
      <c r="H31" s="49">
        <f>SUM(H16:H30)</f>
        <v>98657.28000000001</v>
      </c>
      <c r="I31" s="49">
        <f>SUM(I16:I30)</f>
        <v>12124.560000000001</v>
      </c>
      <c r="J31" s="49">
        <f>SUM(J16:J30)</f>
        <v>92491.20000000001</v>
      </c>
      <c r="K31" s="49"/>
      <c r="L31" s="49"/>
      <c r="M31" s="49">
        <f aca="true" t="shared" si="10" ref="M31:S31">SUM(M16:M30)</f>
        <v>123321.60000000002</v>
      </c>
      <c r="N31" s="49">
        <f t="shared" si="10"/>
        <v>27849.96</v>
      </c>
      <c r="O31" s="49">
        <f t="shared" si="10"/>
        <v>570257.3999999999</v>
      </c>
      <c r="P31" s="49">
        <f>SUM(P16:P30)</f>
        <v>142705</v>
      </c>
      <c r="Q31" s="49">
        <f>SUM(Q16:Q30)</f>
        <v>58424</v>
      </c>
      <c r="R31" s="49">
        <f t="shared" si="10"/>
        <v>92491.20000000001</v>
      </c>
      <c r="S31" s="50">
        <f t="shared" si="10"/>
        <v>863877.5999999999</v>
      </c>
    </row>
    <row r="32" spans="1:19" ht="12.75">
      <c r="A32" s="43"/>
      <c r="B32" s="44" t="s">
        <v>9</v>
      </c>
      <c r="C32" s="57">
        <v>1200</v>
      </c>
      <c r="D32" s="44" t="s">
        <v>71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7" t="s">
        <v>70</v>
      </c>
      <c r="R32" s="141">
        <f>E31-S31</f>
        <v>-78724.82999999984</v>
      </c>
      <c r="S32" s="141"/>
    </row>
    <row r="33" spans="1:19" ht="12.75">
      <c r="A33" s="43"/>
      <c r="B33" s="44" t="s">
        <v>7</v>
      </c>
      <c r="C33" s="57">
        <v>4356</v>
      </c>
      <c r="D33" s="44" t="s">
        <v>72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5"/>
    </row>
    <row r="34" spans="1:19" ht="12.75">
      <c r="A34" s="43"/>
      <c r="B34" s="44" t="s">
        <v>10</v>
      </c>
      <c r="C34" s="57">
        <v>6718</v>
      </c>
      <c r="D34" s="44" t="s">
        <v>73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5"/>
    </row>
    <row r="35" spans="2:16" ht="12.75">
      <c r="B35" s="44" t="s">
        <v>10</v>
      </c>
      <c r="C35" s="58">
        <v>5733</v>
      </c>
      <c r="D35" s="51" t="s">
        <v>73</v>
      </c>
      <c r="P35" s="2"/>
    </row>
    <row r="36" spans="2:16" ht="12.75">
      <c r="B36" s="44" t="s">
        <v>10</v>
      </c>
      <c r="C36" s="58">
        <v>755</v>
      </c>
      <c r="D36" s="51" t="s">
        <v>74</v>
      </c>
      <c r="P36" s="59"/>
    </row>
    <row r="37" spans="2:16" ht="12.75">
      <c r="B37" s="44"/>
      <c r="C37" s="58">
        <v>6607</v>
      </c>
      <c r="D37" s="51" t="s">
        <v>14</v>
      </c>
      <c r="P37" s="2"/>
    </row>
    <row r="38" spans="2:4" ht="12.75">
      <c r="B38" s="44" t="s">
        <v>11</v>
      </c>
      <c r="C38" s="58">
        <v>2480.96</v>
      </c>
      <c r="D38" s="51" t="s">
        <v>75</v>
      </c>
    </row>
    <row r="39" spans="2:4" ht="12.75">
      <c r="B39" s="44"/>
      <c r="C39" s="58"/>
      <c r="D39" s="51"/>
    </row>
    <row r="40" spans="2:4" ht="12.75">
      <c r="B40" s="44"/>
      <c r="C40" s="51"/>
      <c r="D40" s="51"/>
    </row>
    <row r="41" spans="2:4" ht="12.75">
      <c r="B41" s="44"/>
      <c r="C41" s="51"/>
      <c r="D41" s="51"/>
    </row>
    <row r="42" spans="2:4" ht="12.75">
      <c r="B42" s="44"/>
      <c r="C42" s="51"/>
      <c r="D42" s="51"/>
    </row>
    <row r="43" spans="2:4" ht="12.75">
      <c r="B43" s="44"/>
      <c r="C43" s="51"/>
      <c r="D43" s="51"/>
    </row>
    <row r="44" spans="2:4" ht="12.75">
      <c r="B44" s="44"/>
      <c r="C44" s="51"/>
      <c r="D44" s="51"/>
    </row>
    <row r="45" spans="1:19" ht="15">
      <c r="A45" s="109" t="s">
        <v>50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</row>
    <row r="46" spans="1:19" ht="12.75">
      <c r="A46" s="110" t="s">
        <v>51</v>
      </c>
      <c r="B46" s="110"/>
      <c r="C46" s="111" t="s">
        <v>52</v>
      </c>
      <c r="D46" s="111"/>
      <c r="E46" s="111"/>
      <c r="F46" s="111"/>
      <c r="G46" s="111"/>
      <c r="H46" s="111"/>
      <c r="I46" s="111"/>
      <c r="J46" s="111"/>
      <c r="K46" s="111"/>
      <c r="L46" s="112" t="s">
        <v>53</v>
      </c>
      <c r="M46" s="113"/>
      <c r="N46" s="114"/>
      <c r="O46" s="110" t="s">
        <v>54</v>
      </c>
      <c r="P46" s="118"/>
      <c r="Q46" s="110" t="s">
        <v>55</v>
      </c>
      <c r="R46" s="110"/>
      <c r="S46" s="118" t="s">
        <v>56</v>
      </c>
    </row>
    <row r="47" spans="1:19" ht="12.75">
      <c r="A47" s="110"/>
      <c r="B47" s="110"/>
      <c r="C47" s="111"/>
      <c r="D47" s="111"/>
      <c r="E47" s="111"/>
      <c r="F47" s="111"/>
      <c r="G47" s="111"/>
      <c r="H47" s="111"/>
      <c r="I47" s="111"/>
      <c r="J47" s="111"/>
      <c r="K47" s="111"/>
      <c r="L47" s="115"/>
      <c r="M47" s="116"/>
      <c r="N47" s="117"/>
      <c r="O47" s="110"/>
      <c r="P47" s="119"/>
      <c r="Q47" s="110"/>
      <c r="R47" s="110"/>
      <c r="S47" s="119"/>
    </row>
    <row r="48" spans="1:19" ht="12.75">
      <c r="A48" s="120"/>
      <c r="B48" s="121"/>
      <c r="C48" s="122" t="s">
        <v>57</v>
      </c>
      <c r="D48" s="123"/>
      <c r="E48" s="123"/>
      <c r="F48" s="123"/>
      <c r="G48" s="123"/>
      <c r="H48" s="123"/>
      <c r="I48" s="123"/>
      <c r="J48" s="123"/>
      <c r="K48" s="124"/>
      <c r="L48" s="125"/>
      <c r="M48" s="126"/>
      <c r="N48" s="127"/>
      <c r="O48" s="3"/>
      <c r="P48" s="3"/>
      <c r="Q48" s="65"/>
      <c r="R48" s="65"/>
      <c r="S48" s="3"/>
    </row>
    <row r="49" spans="1:19" ht="12.75">
      <c r="A49" s="120"/>
      <c r="B49" s="121"/>
      <c r="C49" s="122" t="s">
        <v>58</v>
      </c>
      <c r="D49" s="123"/>
      <c r="E49" s="123"/>
      <c r="F49" s="123"/>
      <c r="G49" s="123"/>
      <c r="H49" s="123"/>
      <c r="I49" s="123"/>
      <c r="J49" s="123"/>
      <c r="K49" s="124"/>
      <c r="L49" s="128" t="s">
        <v>59</v>
      </c>
      <c r="M49" s="129"/>
      <c r="N49" s="130"/>
      <c r="O49" s="36">
        <v>0.05</v>
      </c>
      <c r="P49" s="37"/>
      <c r="Q49" s="62">
        <f>SUM(O49*2487*12)</f>
        <v>1492.2</v>
      </c>
      <c r="R49" s="62"/>
      <c r="S49" s="36"/>
    </row>
    <row r="50" spans="1:19" ht="12.75">
      <c r="A50" s="120"/>
      <c r="B50" s="121"/>
      <c r="C50" s="122" t="s">
        <v>60</v>
      </c>
      <c r="D50" s="123"/>
      <c r="E50" s="123"/>
      <c r="F50" s="123"/>
      <c r="G50" s="123"/>
      <c r="H50" s="123"/>
      <c r="I50" s="123"/>
      <c r="J50" s="123"/>
      <c r="K50" s="124"/>
      <c r="L50" s="128" t="s">
        <v>59</v>
      </c>
      <c r="M50" s="129"/>
      <c r="N50" s="130"/>
      <c r="O50" s="36">
        <v>0.05</v>
      </c>
      <c r="P50" s="37"/>
      <c r="Q50" s="62">
        <f aca="true" t="shared" si="11" ref="Q50:Q56">SUM(O50*2487*12)</f>
        <v>1492.2</v>
      </c>
      <c r="R50" s="62"/>
      <c r="S50" s="36"/>
    </row>
    <row r="51" spans="1:19" ht="12.75">
      <c r="A51" s="120"/>
      <c r="B51" s="121"/>
      <c r="C51" s="122" t="s">
        <v>61</v>
      </c>
      <c r="D51" s="123"/>
      <c r="E51" s="123"/>
      <c r="F51" s="123"/>
      <c r="G51" s="123"/>
      <c r="H51" s="123"/>
      <c r="I51" s="123"/>
      <c r="J51" s="123"/>
      <c r="K51" s="124"/>
      <c r="L51" s="128" t="s">
        <v>62</v>
      </c>
      <c r="M51" s="129"/>
      <c r="N51" s="130"/>
      <c r="O51" s="36">
        <v>0.15</v>
      </c>
      <c r="P51" s="37"/>
      <c r="Q51" s="62">
        <f t="shared" si="11"/>
        <v>4476.6</v>
      </c>
      <c r="R51" s="62"/>
      <c r="S51" s="36"/>
    </row>
    <row r="52" spans="1:19" ht="12.75">
      <c r="A52" s="131"/>
      <c r="B52" s="61"/>
      <c r="C52" s="132" t="s">
        <v>63</v>
      </c>
      <c r="D52" s="133"/>
      <c r="E52" s="133"/>
      <c r="F52" s="133"/>
      <c r="G52" s="133"/>
      <c r="H52" s="133"/>
      <c r="I52" s="133"/>
      <c r="J52" s="133"/>
      <c r="K52" s="134"/>
      <c r="L52" s="128" t="s">
        <v>59</v>
      </c>
      <c r="M52" s="129"/>
      <c r="N52" s="130"/>
      <c r="O52" s="1">
        <v>0.15</v>
      </c>
      <c r="P52" s="1"/>
      <c r="Q52" s="62">
        <f t="shared" si="11"/>
        <v>4476.6</v>
      </c>
      <c r="R52" s="62"/>
      <c r="S52" s="1"/>
    </row>
    <row r="53" spans="1:19" ht="12.75">
      <c r="A53" s="62"/>
      <c r="B53" s="62"/>
      <c r="C53" s="135" t="s">
        <v>64</v>
      </c>
      <c r="D53" s="136"/>
      <c r="E53" s="136"/>
      <c r="F53" s="136"/>
      <c r="G53" s="136"/>
      <c r="H53" s="136"/>
      <c r="I53" s="136"/>
      <c r="J53" s="136"/>
      <c r="K53" s="137"/>
      <c r="L53" s="138" t="s">
        <v>65</v>
      </c>
      <c r="M53" s="139"/>
      <c r="N53" s="140"/>
      <c r="O53" s="1">
        <v>0.25</v>
      </c>
      <c r="P53" s="1"/>
      <c r="Q53" s="62">
        <f t="shared" si="11"/>
        <v>7461</v>
      </c>
      <c r="R53" s="62"/>
      <c r="S53" s="1"/>
    </row>
    <row r="54" spans="1:19" ht="12.75">
      <c r="A54" s="131"/>
      <c r="B54" s="61"/>
      <c r="C54" s="135" t="s">
        <v>66</v>
      </c>
      <c r="D54" s="136"/>
      <c r="E54" s="136"/>
      <c r="F54" s="136"/>
      <c r="G54" s="136"/>
      <c r="H54" s="136"/>
      <c r="I54" s="136"/>
      <c r="J54" s="136"/>
      <c r="K54" s="137"/>
      <c r="L54" s="138" t="s">
        <v>65</v>
      </c>
      <c r="M54" s="139"/>
      <c r="N54" s="140"/>
      <c r="O54" s="1">
        <v>0.1</v>
      </c>
      <c r="P54" s="38"/>
      <c r="Q54" s="62">
        <f t="shared" si="11"/>
        <v>2984.4</v>
      </c>
      <c r="R54" s="62"/>
      <c r="S54" s="1"/>
    </row>
    <row r="55" spans="1:19" ht="12.75">
      <c r="A55" s="62"/>
      <c r="B55" s="62"/>
      <c r="C55" s="132" t="s">
        <v>67</v>
      </c>
      <c r="D55" s="133"/>
      <c r="E55" s="133"/>
      <c r="F55" s="133"/>
      <c r="G55" s="133"/>
      <c r="H55" s="133"/>
      <c r="I55" s="133"/>
      <c r="J55" s="133"/>
      <c r="K55" s="134"/>
      <c r="L55" s="138" t="s">
        <v>65</v>
      </c>
      <c r="M55" s="139"/>
      <c r="N55" s="140"/>
      <c r="O55" s="1">
        <v>0.25</v>
      </c>
      <c r="P55" s="1"/>
      <c r="Q55" s="62">
        <f t="shared" si="11"/>
        <v>7461</v>
      </c>
      <c r="R55" s="62"/>
      <c r="S55" s="1"/>
    </row>
    <row r="56" spans="1:19" ht="12.75">
      <c r="A56" s="39"/>
      <c r="B56" s="5"/>
      <c r="C56" s="142" t="s">
        <v>68</v>
      </c>
      <c r="D56" s="142"/>
      <c r="E56" s="142"/>
      <c r="F56" s="142"/>
      <c r="G56" s="142"/>
      <c r="H56" s="142"/>
      <c r="I56" s="142"/>
      <c r="J56" s="142"/>
      <c r="K56" s="142"/>
      <c r="L56" s="128" t="s">
        <v>59</v>
      </c>
      <c r="M56" s="129"/>
      <c r="N56" s="130"/>
      <c r="O56" s="40">
        <v>1</v>
      </c>
      <c r="P56" s="41"/>
      <c r="Q56" s="62">
        <f t="shared" si="11"/>
        <v>29844</v>
      </c>
      <c r="R56" s="62"/>
      <c r="S56" s="1"/>
    </row>
    <row r="57" spans="5:19" ht="12.75">
      <c r="E57" s="143" t="s">
        <v>12</v>
      </c>
      <c r="F57" s="144"/>
      <c r="G57" s="144"/>
      <c r="H57" s="144"/>
      <c r="I57" s="144"/>
      <c r="J57" s="144"/>
      <c r="K57" s="144"/>
      <c r="L57" s="144"/>
      <c r="M57" s="144"/>
      <c r="N57" s="145"/>
      <c r="O57" s="6">
        <f>SUM(O49:O56)</f>
        <v>2</v>
      </c>
      <c r="P57" s="42"/>
      <c r="Q57" s="63">
        <f>SUM(Q49:Q56)</f>
        <v>59688</v>
      </c>
      <c r="R57" s="63"/>
      <c r="S57" s="1"/>
    </row>
  </sheetData>
  <sheetProtection/>
  <mergeCells count="77">
    <mergeCell ref="R32:S32"/>
    <mergeCell ref="C56:K56"/>
    <mergeCell ref="L56:N56"/>
    <mergeCell ref="Q56:R56"/>
    <mergeCell ref="E57:N57"/>
    <mergeCell ref="Q57:R57"/>
    <mergeCell ref="S46:S47"/>
    <mergeCell ref="A54:B54"/>
    <mergeCell ref="C54:K54"/>
    <mergeCell ref="L54:N54"/>
    <mergeCell ref="Q54:R54"/>
    <mergeCell ref="A55:B55"/>
    <mergeCell ref="C55:K55"/>
    <mergeCell ref="L55:N55"/>
    <mergeCell ref="Q55:R55"/>
    <mergeCell ref="A52:B52"/>
    <mergeCell ref="C52:K52"/>
    <mergeCell ref="L52:N52"/>
    <mergeCell ref="Q52:R52"/>
    <mergeCell ref="A53:B53"/>
    <mergeCell ref="C53:K53"/>
    <mergeCell ref="L53:N53"/>
    <mergeCell ref="Q53:R53"/>
    <mergeCell ref="A50:B50"/>
    <mergeCell ref="C50:K50"/>
    <mergeCell ref="L50:N50"/>
    <mergeCell ref="Q50:R50"/>
    <mergeCell ref="A51:B51"/>
    <mergeCell ref="C51:K51"/>
    <mergeCell ref="L51:N51"/>
    <mergeCell ref="Q51:R51"/>
    <mergeCell ref="A48:B48"/>
    <mergeCell ref="C48:K48"/>
    <mergeCell ref="L48:N48"/>
    <mergeCell ref="Q48:R48"/>
    <mergeCell ref="A49:B49"/>
    <mergeCell ref="C49:K49"/>
    <mergeCell ref="L49:N49"/>
    <mergeCell ref="Q49:R49"/>
    <mergeCell ref="A14:E14"/>
    <mergeCell ref="F14:S14"/>
    <mergeCell ref="A15:D15"/>
    <mergeCell ref="A45:S45"/>
    <mergeCell ref="A46:B47"/>
    <mergeCell ref="C46:K47"/>
    <mergeCell ref="L46:N47"/>
    <mergeCell ref="O46:O47"/>
    <mergeCell ref="P46:P47"/>
    <mergeCell ref="Q46:R47"/>
    <mergeCell ref="O8:O9"/>
    <mergeCell ref="P10:Q10"/>
    <mergeCell ref="A12:D12"/>
    <mergeCell ref="F12:N12"/>
    <mergeCell ref="P12:Q12"/>
    <mergeCell ref="A13:E13"/>
    <mergeCell ref="I8:I9"/>
    <mergeCell ref="J8:J9"/>
    <mergeCell ref="K8:K9"/>
    <mergeCell ref="L8:L9"/>
    <mergeCell ref="M8:M9"/>
    <mergeCell ref="N8:N9"/>
    <mergeCell ref="C8:C9"/>
    <mergeCell ref="D8:D9"/>
    <mergeCell ref="E8:E9"/>
    <mergeCell ref="F8:F9"/>
    <mergeCell ref="G8:G9"/>
    <mergeCell ref="H8:H9"/>
    <mergeCell ref="A4:S4"/>
    <mergeCell ref="A5:S5"/>
    <mergeCell ref="A6:E6"/>
    <mergeCell ref="F6:R6"/>
    <mergeCell ref="B7:E7"/>
    <mergeCell ref="F7:O7"/>
    <mergeCell ref="P7:Q8"/>
    <mergeCell ref="R7:R9"/>
    <mergeCell ref="S7:S9"/>
    <mergeCell ref="B8:B9"/>
  </mergeCells>
  <printOptions/>
  <pageMargins left="0.041666666666666664" right="0.010416666666666666" top="0.041666666666666664" bottom="0.10416666666666667" header="0.3" footer="0.3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2017-02-03T11:01:34Z</cp:lastPrinted>
  <dcterms:created xsi:type="dcterms:W3CDTF">2007-02-04T12:22:59Z</dcterms:created>
  <dcterms:modified xsi:type="dcterms:W3CDTF">2017-02-06T10:00:22Z</dcterms:modified>
  <cp:category/>
  <cp:version/>
  <cp:contentType/>
  <cp:contentStatus/>
</cp:coreProperties>
</file>