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16" sheetId="1" r:id="rId1"/>
  </sheets>
  <definedNames>
    <definedName name="_xlnm.Print_Area" localSheetId="0">'2016'!$A$4:$S$34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покос-1924р</t>
        </r>
      </text>
    </comment>
    <comment ref="N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покос-400р</t>
        </r>
      </text>
    </comment>
    <comment ref="N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1000р-ремонт подъездной двери</t>
        </r>
      </text>
    </comment>
    <comment ref="N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100,01р-тех.обслуживание ОДГО</t>
        </r>
      </text>
    </comment>
  </commentList>
</comments>
</file>

<file path=xl/sharedStrings.xml><?xml version="1.0" encoding="utf-8"?>
<sst xmlns="http://schemas.openxmlformats.org/spreadsheetml/2006/main" count="83" uniqueCount="74">
  <si>
    <t>Содержание</t>
  </si>
  <si>
    <t>ремонт</t>
  </si>
  <si>
    <t>итого</t>
  </si>
  <si>
    <t>март</t>
  </si>
  <si>
    <t>май</t>
  </si>
  <si>
    <t>июнь</t>
  </si>
  <si>
    <t>Наименование работ</t>
  </si>
  <si>
    <t>ИТОГО</t>
  </si>
  <si>
    <t>июль</t>
  </si>
  <si>
    <t>август</t>
  </si>
  <si>
    <t>сентябрь</t>
  </si>
  <si>
    <t>октябрь</t>
  </si>
  <si>
    <t>ИТОГО: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</si>
  <si>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</si>
  <si>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</si>
  <si>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</si>
  <si>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</si>
  <si>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</si>
  <si>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</si>
  <si>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</si>
  <si>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</si>
  <si>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</si>
  <si>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</si>
  <si>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</si>
  <si>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</si>
  <si>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</si>
  <si>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</si>
  <si>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</si>
  <si>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</si>
  <si>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family val="0"/>
      </rPr>
      <t>СОДЕРЖАНИ</t>
    </r>
    <r>
      <rPr>
        <sz val="8"/>
        <rFont val="Arial Cyr"/>
        <family val="0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</si>
  <si>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</si>
  <si>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</si>
  <si>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</si>
  <si>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</si>
  <si>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</si>
  <si>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</si>
  <si>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</si>
  <si>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</si>
  <si>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</si>
  <si>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</si>
  <si>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</si>
  <si>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</si>
  <si>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</si>
  <si>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</si>
  <si>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</si>
  <si>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</si>
  <si>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</si>
  <si>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</si>
  <si>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</si>
  <si>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</si>
  <si>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</si>
  <si>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</si>
  <si>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</si>
  <si>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</si>
  <si>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</si>
  <si>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</si>
  <si>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</si>
  <si>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</si>
  <si>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</si>
  <si>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</si>
  <si>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</si>
  <si>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</si>
  <si>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</si>
  <si>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</si>
  <si>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</si>
  <si>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</si>
  <si>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Информация о доходах и расходах по дому __Ленина 133__на 2016год.</t>
  </si>
  <si>
    <t>покос</t>
  </si>
  <si>
    <t>1924р</t>
  </si>
  <si>
    <t>400р</t>
  </si>
  <si>
    <t>1000р</t>
  </si>
  <si>
    <t>ремонт подъездной двери</t>
  </si>
  <si>
    <t>100,01р</t>
  </si>
  <si>
    <t>тех.обслуживание ОДГО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</si>
</sst>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_р_."/>
    <numFmt numFmtId="167" formatCode="#,##0.0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  <numFmt numFmtId="173" formatCode="#,##0_р_.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4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9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left" wrapText="1"/>
    </xf>
    <xf numFmtId="0" fontId="47" fillId="0" borderId="13" xfId="0" applyFont="1" applyBorder="1" applyAlignment="1">
      <alignment horizontal="left"/>
    </xf>
    <xf numFmtId="2" fontId="7" fillId="0" borderId="13" xfId="0" applyNumberFormat="1" applyFont="1" applyBorder="1" applyAlignment="1">
      <alignment horizontal="left" wrapText="1"/>
    </xf>
    <xf numFmtId="0" fontId="9" fillId="34" borderId="10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horizontal="center" vertical="top"/>
    </xf>
    <xf numFmtId="4" fontId="5" fillId="34" borderId="10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17" fontId="5" fillId="35" borderId="10" xfId="0" applyNumberFormat="1" applyFont="1" applyFill="1" applyBorder="1" applyAlignment="1">
      <alignment horizontal="left"/>
    </xf>
    <xf numFmtId="164" fontId="1" fillId="33" borderId="10" xfId="0" applyNumberFormat="1" applyFont="1" applyFill="1" applyBorder="1" applyAlignment="1">
      <alignment/>
    </xf>
    <xf numFmtId="164" fontId="1" fillId="13" borderId="10" xfId="0" applyNumberFormat="1" applyFont="1" applyFill="1" applyBorder="1" applyAlignment="1">
      <alignment/>
    </xf>
    <xf numFmtId="164" fontId="1" fillId="13" borderId="13" xfId="0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0" fontId="5" fillId="36" borderId="10" xfId="0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1" fillId="0" borderId="13" xfId="0" applyFont="1" applyBorder="1" applyAlignment="1">
      <alignment horizontal="left"/>
    </xf>
    <xf numFmtId="164" fontId="1" fillId="9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1" fillId="0" borderId="13" xfId="0" applyNumberFormat="1" applyFont="1" applyFill="1" applyBorder="1" applyAlignment="1">
      <alignment horizontal="right" vertical="top" wrapText="1"/>
    </xf>
    <xf numFmtId="2" fontId="7" fillId="0" borderId="13" xfId="0" applyNumberFormat="1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wrapText="1"/>
    </xf>
    <xf numFmtId="0" fontId="4" fillId="37" borderId="17" xfId="0" applyFont="1" applyFill="1" applyBorder="1" applyAlignment="1">
      <alignment horizontal="center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0" fontId="0" fillId="37" borderId="15" xfId="0" applyFont="1" applyFill="1" applyBorder="1" applyAlignment="1">
      <alignment horizontal="center" wrapText="1"/>
    </xf>
    <xf numFmtId="0" fontId="0" fillId="37" borderId="17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8" fillId="0" borderId="19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textRotation="90" wrapText="1"/>
    </xf>
    <xf numFmtId="0" fontId="0" fillId="0" borderId="13" xfId="0" applyBorder="1" applyAlignment="1">
      <alignment horizontal="left"/>
    </xf>
    <xf numFmtId="2" fontId="7" fillId="0" borderId="14" xfId="0" applyNumberFormat="1" applyFont="1" applyBorder="1" applyAlignment="1">
      <alignment horizontal="left"/>
    </xf>
    <xf numFmtId="2" fontId="7" fillId="0" borderId="17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49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4:T52"/>
  <sheetViews>
    <sheetView tabSelected="1" workbookViewId="0" topLeftCell="A10">
      <selection activeCell="T12" sqref="T12"/>
    </sheetView>
  </sheetViews>
  <sheetFormatPr defaultColWidth="9.00390625" defaultRowHeight="12.75"/>
  <cols>
    <col min="1" max="1" width="6.125" style="0" customWidth="1"/>
    <col min="4" max="4" width="6.125" style="0" customWidth="1"/>
    <col min="5" max="5" width="9.625" style="0" customWidth="1"/>
    <col min="9" max="9" width="8.00390625" style="0" customWidth="1"/>
    <col min="10" max="10" width="9.125" style="0" customWidth="1"/>
    <col min="11" max="12" width="9.125" style="0" hidden="1" customWidth="1"/>
    <col min="14" max="14" width="8.125" style="0" customWidth="1"/>
    <col min="17" max="17" width="7.625" style="0" customWidth="1"/>
  </cols>
  <sheetData>
    <row r="4" spans="1:19" ht="15.75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2.75">
      <c r="A6" s="128"/>
      <c r="B6" s="57"/>
      <c r="C6" s="57"/>
      <c r="D6" s="57"/>
      <c r="E6" s="58"/>
      <c r="F6" s="61" t="s">
        <v>14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3"/>
    </row>
    <row r="7" spans="1:19" ht="12.75">
      <c r="A7" s="7"/>
      <c r="B7" s="129" t="s">
        <v>15</v>
      </c>
      <c r="C7" s="129"/>
      <c r="D7" s="129"/>
      <c r="E7" s="129"/>
      <c r="F7" s="130" t="s">
        <v>0</v>
      </c>
      <c r="G7" s="131"/>
      <c r="H7" s="131"/>
      <c r="I7" s="131"/>
      <c r="J7" s="131"/>
      <c r="K7" s="131"/>
      <c r="L7" s="131"/>
      <c r="M7" s="131"/>
      <c r="N7" s="131"/>
      <c r="O7" s="132"/>
      <c r="P7" s="133" t="s">
        <v>16</v>
      </c>
      <c r="Q7" s="134"/>
      <c r="R7" s="137" t="s">
        <v>17</v>
      </c>
      <c r="S7" s="140" t="s">
        <v>7</v>
      </c>
    </row>
    <row r="8" spans="1:19" ht="12.75">
      <c r="A8" s="8"/>
      <c r="B8" s="122" t="s">
        <v>18</v>
      </c>
      <c r="C8" s="122" t="s">
        <v>1</v>
      </c>
      <c r="D8" s="122" t="s">
        <v>19</v>
      </c>
      <c r="E8" s="124" t="s">
        <v>2</v>
      </c>
      <c r="F8" s="120" t="s">
        <v>20</v>
      </c>
      <c r="G8" s="120" t="s">
        <v>21</v>
      </c>
      <c r="H8" s="120" t="s">
        <v>22</v>
      </c>
      <c r="I8" s="120" t="s">
        <v>23</v>
      </c>
      <c r="J8" s="120" t="s">
        <v>24</v>
      </c>
      <c r="K8" s="120" t="s">
        <v>25</v>
      </c>
      <c r="L8" s="120" t="s">
        <v>26</v>
      </c>
      <c r="M8" s="120" t="s">
        <v>27</v>
      </c>
      <c r="N8" s="120" t="s">
        <v>28</v>
      </c>
      <c r="O8" s="107" t="s">
        <v>29</v>
      </c>
      <c r="P8" s="135"/>
      <c r="Q8" s="136"/>
      <c r="R8" s="138"/>
      <c r="S8" s="141"/>
    </row>
    <row r="9" spans="1:19" ht="84">
      <c r="A9" s="10"/>
      <c r="B9" s="123"/>
      <c r="C9" s="123"/>
      <c r="D9" s="123"/>
      <c r="E9" s="125"/>
      <c r="F9" s="126"/>
      <c r="G9" s="121"/>
      <c r="H9" s="121"/>
      <c r="I9" s="121"/>
      <c r="J9" s="121"/>
      <c r="K9" s="121"/>
      <c r="L9" s="121"/>
      <c r="M9" s="121"/>
      <c r="N9" s="121"/>
      <c r="O9" s="108"/>
      <c r="P9" s="9" t="s">
        <v>30</v>
      </c>
      <c r="Q9" s="9" t="s">
        <v>31</v>
      </c>
      <c r="R9" s="139"/>
      <c r="S9" s="142"/>
    </row>
    <row r="10" spans="1:19" ht="14.25">
      <c r="A10" s="14">
        <v>2015</v>
      </c>
      <c r="B10" s="11">
        <v>9</v>
      </c>
      <c r="C10" s="11">
        <v>3</v>
      </c>
      <c r="D10" s="11">
        <v>0</v>
      </c>
      <c r="E10" s="12">
        <f>B10+C10+D10</f>
        <v>12</v>
      </c>
      <c r="F10" s="46">
        <v>0.89</v>
      </c>
      <c r="G10" s="15">
        <v>3.17</v>
      </c>
      <c r="H10" s="15">
        <v>1.4</v>
      </c>
      <c r="I10" s="15">
        <v>1.2</v>
      </c>
      <c r="J10" s="15">
        <v>0.08</v>
      </c>
      <c r="K10" s="15">
        <v>0</v>
      </c>
      <c r="L10" s="15">
        <v>0</v>
      </c>
      <c r="M10" s="15">
        <v>1.49</v>
      </c>
      <c r="N10" s="15">
        <v>0</v>
      </c>
      <c r="O10" s="16">
        <f>SUM(F10:N10)</f>
        <v>8.229999999999999</v>
      </c>
      <c r="P10" s="109">
        <v>1.8</v>
      </c>
      <c r="Q10" s="110"/>
      <c r="R10" s="17">
        <v>0.42</v>
      </c>
      <c r="S10" s="13">
        <f>SUM(O10:R10)</f>
        <v>10.45</v>
      </c>
    </row>
    <row r="11" spans="1:19" ht="14.25">
      <c r="A11" s="18">
        <v>2016</v>
      </c>
      <c r="B11" s="19">
        <v>9</v>
      </c>
      <c r="C11" s="19">
        <v>3</v>
      </c>
      <c r="D11" s="19">
        <v>0</v>
      </c>
      <c r="E11" s="20">
        <f>SUM(B11:D11)</f>
        <v>12</v>
      </c>
      <c r="F11" s="52">
        <v>1</v>
      </c>
      <c r="G11" s="52">
        <v>3.2</v>
      </c>
      <c r="H11" s="52">
        <v>1.6</v>
      </c>
      <c r="I11" s="52">
        <v>0</v>
      </c>
      <c r="J11" s="52">
        <v>0.1</v>
      </c>
      <c r="K11" s="52">
        <v>0</v>
      </c>
      <c r="L11" s="52">
        <v>0</v>
      </c>
      <c r="M11" s="52">
        <v>1.5</v>
      </c>
      <c r="N11" s="52">
        <v>1.6</v>
      </c>
      <c r="O11" s="53">
        <f>SUM(F11:N11)</f>
        <v>9</v>
      </c>
      <c r="P11" s="54">
        <v>1.5</v>
      </c>
      <c r="Q11" s="54">
        <v>1.5</v>
      </c>
      <c r="R11" s="55">
        <v>0</v>
      </c>
      <c r="S11" s="21">
        <f>SUM(O11:R11)</f>
        <v>12</v>
      </c>
    </row>
    <row r="12" spans="1:19" ht="24">
      <c r="A12" s="111" t="s">
        <v>32</v>
      </c>
      <c r="B12" s="111"/>
      <c r="C12" s="111"/>
      <c r="D12" s="111"/>
      <c r="E12" s="22">
        <v>976.2</v>
      </c>
      <c r="F12" s="112" t="s">
        <v>33</v>
      </c>
      <c r="G12" s="113"/>
      <c r="H12" s="113"/>
      <c r="I12" s="113"/>
      <c r="J12" s="113"/>
      <c r="K12" s="113"/>
      <c r="L12" s="113"/>
      <c r="M12" s="113"/>
      <c r="N12" s="114"/>
      <c r="O12" s="21"/>
      <c r="P12" s="115" t="s">
        <v>34</v>
      </c>
      <c r="Q12" s="116"/>
      <c r="R12" s="21" t="s">
        <v>35</v>
      </c>
      <c r="S12" s="21"/>
    </row>
    <row r="13" spans="1:19" ht="12.75">
      <c r="A13" s="117" t="s">
        <v>36</v>
      </c>
      <c r="B13" s="118"/>
      <c r="C13" s="118"/>
      <c r="D13" s="118"/>
      <c r="E13" s="119"/>
      <c r="F13" s="23">
        <f>E12*F11</f>
        <v>976.2</v>
      </c>
      <c r="G13" s="23">
        <f>E12*G11</f>
        <v>3123.84</v>
      </c>
      <c r="H13" s="23">
        <f>E12*H11</f>
        <v>1561.92</v>
      </c>
      <c r="I13" s="23">
        <f aca="true" t="shared" si="0" ref="I13:S13">SUM(I11*2487)</f>
        <v>0</v>
      </c>
      <c r="J13" s="23">
        <f>E12*J11</f>
        <v>97.62</v>
      </c>
      <c r="K13" s="23">
        <f t="shared" si="0"/>
        <v>0</v>
      </c>
      <c r="L13" s="23">
        <f t="shared" si="0"/>
        <v>0</v>
      </c>
      <c r="M13" s="23">
        <f>E12*M11</f>
        <v>1464.3000000000002</v>
      </c>
      <c r="N13" s="23">
        <f>E12*N11</f>
        <v>1561.92</v>
      </c>
      <c r="O13" s="23">
        <f t="shared" si="0"/>
        <v>22383</v>
      </c>
      <c r="P13" s="23">
        <f>E12*P11</f>
        <v>1464.3000000000002</v>
      </c>
      <c r="Q13" s="23">
        <f>E12*Q11</f>
        <v>1464.3000000000002</v>
      </c>
      <c r="R13" s="23">
        <f t="shared" si="0"/>
        <v>0</v>
      </c>
      <c r="S13" s="23">
        <f t="shared" si="0"/>
        <v>29844</v>
      </c>
    </row>
    <row r="14" spans="1:19" ht="12.75">
      <c r="A14" s="91" t="s">
        <v>37</v>
      </c>
      <c r="B14" s="91"/>
      <c r="C14" s="91"/>
      <c r="D14" s="91"/>
      <c r="E14" s="92"/>
      <c r="F14" s="93" t="s">
        <v>38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5"/>
    </row>
    <row r="15" spans="1:19" ht="12.75">
      <c r="A15" s="96" t="s">
        <v>39</v>
      </c>
      <c r="B15" s="96"/>
      <c r="C15" s="96"/>
      <c r="D15" s="97"/>
      <c r="E15" s="24">
        <v>-39702.19</v>
      </c>
      <c r="F15" s="25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8"/>
    </row>
    <row r="16" spans="1:20" ht="12.75">
      <c r="A16" s="29" t="s">
        <v>40</v>
      </c>
      <c r="B16" s="4">
        <f>1484+4977.52</f>
        <v>6461.52</v>
      </c>
      <c r="C16" s="4">
        <f>556.5+2384.7</f>
        <v>2941.2</v>
      </c>
      <c r="D16" s="4">
        <v>0</v>
      </c>
      <c r="E16" s="30">
        <f aca="true" t="shared" si="1" ref="E16:E27">B16+C16+D16</f>
        <v>9402.720000000001</v>
      </c>
      <c r="F16" s="31">
        <f aca="true" t="shared" si="2" ref="F16:F27">976.2*1</f>
        <v>976.2</v>
      </c>
      <c r="G16" s="31">
        <f aca="true" t="shared" si="3" ref="G16:G27">976.2*3.2</f>
        <v>3123.84</v>
      </c>
      <c r="H16" s="32">
        <f aca="true" t="shared" si="4" ref="H16:H27">976.2*1.6</f>
        <v>1561.92</v>
      </c>
      <c r="I16" s="31">
        <v>0</v>
      </c>
      <c r="J16" s="31">
        <f aca="true" t="shared" si="5" ref="J16:J27">976.2*0.1</f>
        <v>97.62</v>
      </c>
      <c r="K16" s="31">
        <v>0</v>
      </c>
      <c r="L16" s="31">
        <v>0</v>
      </c>
      <c r="M16" s="31">
        <f aca="true" t="shared" si="6" ref="M16:M27">976.2*1.5</f>
        <v>1464.3000000000002</v>
      </c>
      <c r="N16" s="31">
        <v>0</v>
      </c>
      <c r="O16" s="47">
        <f aca="true" t="shared" si="7" ref="O16:O27">SUM(F16:N16)</f>
        <v>7223.88</v>
      </c>
      <c r="P16" s="33">
        <v>0</v>
      </c>
      <c r="Q16" s="33">
        <v>0</v>
      </c>
      <c r="R16" s="31">
        <v>0</v>
      </c>
      <c r="S16" s="34">
        <f aca="true" t="shared" si="8" ref="S16:S27">O16+P16+Q16+R16</f>
        <v>7223.88</v>
      </c>
      <c r="T16" s="1"/>
    </row>
    <row r="17" spans="1:19" ht="12.75">
      <c r="A17" s="29" t="s">
        <v>41</v>
      </c>
      <c r="B17" s="4">
        <f>764+3958.4</f>
        <v>4722.4</v>
      </c>
      <c r="C17" s="4">
        <f>286.5+1314.3</f>
        <v>1600.8</v>
      </c>
      <c r="D17" s="4">
        <v>0</v>
      </c>
      <c r="E17" s="30">
        <f t="shared" si="1"/>
        <v>6323.2</v>
      </c>
      <c r="F17" s="31">
        <f t="shared" si="2"/>
        <v>976.2</v>
      </c>
      <c r="G17" s="31">
        <f t="shared" si="3"/>
        <v>3123.84</v>
      </c>
      <c r="H17" s="32">
        <f t="shared" si="4"/>
        <v>1561.92</v>
      </c>
      <c r="I17" s="31">
        <v>0</v>
      </c>
      <c r="J17" s="31">
        <f t="shared" si="5"/>
        <v>97.62</v>
      </c>
      <c r="K17" s="31">
        <v>0</v>
      </c>
      <c r="L17" s="31">
        <v>0</v>
      </c>
      <c r="M17" s="31">
        <f t="shared" si="6"/>
        <v>1464.3000000000002</v>
      </c>
      <c r="N17" s="31">
        <v>0</v>
      </c>
      <c r="O17" s="47">
        <f t="shared" si="7"/>
        <v>7223.88</v>
      </c>
      <c r="P17" s="33">
        <v>0</v>
      </c>
      <c r="Q17" s="33">
        <v>0</v>
      </c>
      <c r="R17" s="31">
        <v>0</v>
      </c>
      <c r="S17" s="34">
        <f t="shared" si="8"/>
        <v>7223.88</v>
      </c>
    </row>
    <row r="18" spans="1:19" ht="12.75">
      <c r="A18" s="29" t="s">
        <v>3</v>
      </c>
      <c r="B18" s="4">
        <f>3312.8+4492.8</f>
        <v>7805.6</v>
      </c>
      <c r="C18" s="4">
        <f>1242.3+1704.9</f>
        <v>2947.2</v>
      </c>
      <c r="D18" s="4">
        <v>0</v>
      </c>
      <c r="E18" s="30">
        <f t="shared" si="1"/>
        <v>10752.8</v>
      </c>
      <c r="F18" s="31">
        <f t="shared" si="2"/>
        <v>976.2</v>
      </c>
      <c r="G18" s="31">
        <f t="shared" si="3"/>
        <v>3123.84</v>
      </c>
      <c r="H18" s="32">
        <f t="shared" si="4"/>
        <v>1561.92</v>
      </c>
      <c r="I18" s="31">
        <v>0</v>
      </c>
      <c r="J18" s="31">
        <f t="shared" si="5"/>
        <v>97.62</v>
      </c>
      <c r="K18" s="31">
        <v>0</v>
      </c>
      <c r="L18" s="31">
        <v>0</v>
      </c>
      <c r="M18" s="31">
        <f t="shared" si="6"/>
        <v>1464.3000000000002</v>
      </c>
      <c r="N18" s="31">
        <v>0</v>
      </c>
      <c r="O18" s="47">
        <f t="shared" si="7"/>
        <v>7223.88</v>
      </c>
      <c r="P18" s="33">
        <v>1967</v>
      </c>
      <c r="Q18" s="33">
        <v>0</v>
      </c>
      <c r="R18" s="31">
        <v>0</v>
      </c>
      <c r="S18" s="34">
        <f t="shared" si="8"/>
        <v>9190.880000000001</v>
      </c>
    </row>
    <row r="19" spans="1:19" ht="12.75">
      <c r="A19" s="29" t="s">
        <v>42</v>
      </c>
      <c r="B19" s="4">
        <f>1142.4+4128.8</f>
        <v>5271.200000000001</v>
      </c>
      <c r="C19" s="4">
        <f>428.4+1305</f>
        <v>1733.4</v>
      </c>
      <c r="D19" s="4">
        <v>0</v>
      </c>
      <c r="E19" s="30">
        <f t="shared" si="1"/>
        <v>7004.6</v>
      </c>
      <c r="F19" s="31">
        <f t="shared" si="2"/>
        <v>976.2</v>
      </c>
      <c r="G19" s="31">
        <f t="shared" si="3"/>
        <v>3123.84</v>
      </c>
      <c r="H19" s="32">
        <f t="shared" si="4"/>
        <v>1561.92</v>
      </c>
      <c r="I19" s="31">
        <v>0</v>
      </c>
      <c r="J19" s="31">
        <f t="shared" si="5"/>
        <v>97.62</v>
      </c>
      <c r="K19" s="31">
        <v>0</v>
      </c>
      <c r="L19" s="31">
        <v>0</v>
      </c>
      <c r="M19" s="31">
        <f t="shared" si="6"/>
        <v>1464.3000000000002</v>
      </c>
      <c r="N19" s="31">
        <v>0</v>
      </c>
      <c r="O19" s="47">
        <f t="shared" si="7"/>
        <v>7223.88</v>
      </c>
      <c r="P19" s="33">
        <v>0</v>
      </c>
      <c r="Q19" s="33">
        <v>0</v>
      </c>
      <c r="R19" s="31">
        <v>0</v>
      </c>
      <c r="S19" s="34">
        <f t="shared" si="8"/>
        <v>7223.88</v>
      </c>
    </row>
    <row r="20" spans="1:19" ht="12.75">
      <c r="A20" s="29" t="s">
        <v>4</v>
      </c>
      <c r="B20" s="4">
        <f>1939.2+4023.5</f>
        <v>5962.7</v>
      </c>
      <c r="C20" s="4">
        <f>683.6+1392.6</f>
        <v>2076.2</v>
      </c>
      <c r="D20" s="4">
        <v>0</v>
      </c>
      <c r="E20" s="30">
        <f t="shared" si="1"/>
        <v>8038.9</v>
      </c>
      <c r="F20" s="31">
        <f t="shared" si="2"/>
        <v>976.2</v>
      </c>
      <c r="G20" s="31">
        <f t="shared" si="3"/>
        <v>3123.84</v>
      </c>
      <c r="H20" s="32">
        <f t="shared" si="4"/>
        <v>1561.92</v>
      </c>
      <c r="I20" s="31">
        <v>0</v>
      </c>
      <c r="J20" s="31">
        <f t="shared" si="5"/>
        <v>97.62</v>
      </c>
      <c r="K20" s="31">
        <v>0</v>
      </c>
      <c r="L20" s="31">
        <v>0</v>
      </c>
      <c r="M20" s="31">
        <f t="shared" si="6"/>
        <v>1464.3000000000002</v>
      </c>
      <c r="N20" s="31">
        <v>1924</v>
      </c>
      <c r="O20" s="47">
        <f t="shared" si="7"/>
        <v>9147.880000000001</v>
      </c>
      <c r="P20" s="33">
        <v>0</v>
      </c>
      <c r="Q20" s="33">
        <v>0</v>
      </c>
      <c r="R20" s="31">
        <v>0</v>
      </c>
      <c r="S20" s="34">
        <f t="shared" si="8"/>
        <v>9147.880000000001</v>
      </c>
    </row>
    <row r="21" spans="1:19" ht="12.75">
      <c r="A21" s="29" t="s">
        <v>5</v>
      </c>
      <c r="B21" s="4">
        <f>1112.8+5249.6</f>
        <v>6362.400000000001</v>
      </c>
      <c r="C21" s="4">
        <f>417.3+2156.1</f>
        <v>2573.4</v>
      </c>
      <c r="D21" s="4">
        <v>0</v>
      </c>
      <c r="E21" s="30">
        <f t="shared" si="1"/>
        <v>8935.800000000001</v>
      </c>
      <c r="F21" s="31">
        <f t="shared" si="2"/>
        <v>976.2</v>
      </c>
      <c r="G21" s="31">
        <f t="shared" si="3"/>
        <v>3123.84</v>
      </c>
      <c r="H21" s="32">
        <f t="shared" si="4"/>
        <v>1561.92</v>
      </c>
      <c r="I21" s="31">
        <v>0</v>
      </c>
      <c r="J21" s="31">
        <f t="shared" si="5"/>
        <v>97.62</v>
      </c>
      <c r="K21" s="31">
        <v>0</v>
      </c>
      <c r="L21" s="31">
        <v>0</v>
      </c>
      <c r="M21" s="31">
        <f t="shared" si="6"/>
        <v>1464.3000000000002</v>
      </c>
      <c r="N21" s="31">
        <v>0</v>
      </c>
      <c r="O21" s="47">
        <f t="shared" si="7"/>
        <v>7223.88</v>
      </c>
      <c r="P21" s="33">
        <v>0</v>
      </c>
      <c r="Q21" s="33">
        <v>0</v>
      </c>
      <c r="R21" s="31">
        <v>0</v>
      </c>
      <c r="S21" s="34">
        <f t="shared" si="8"/>
        <v>7223.88</v>
      </c>
    </row>
    <row r="22" spans="1:19" ht="12.75">
      <c r="A22" s="29" t="s">
        <v>8</v>
      </c>
      <c r="B22" s="4">
        <f>2462.4+5074.4+1240.5</f>
        <v>8777.3</v>
      </c>
      <c r="C22" s="4">
        <f>923.4+805.5+259.5</f>
        <v>1988.4</v>
      </c>
      <c r="D22" s="4">
        <v>0</v>
      </c>
      <c r="E22" s="30">
        <f t="shared" si="1"/>
        <v>10765.699999999999</v>
      </c>
      <c r="F22" s="31">
        <f t="shared" si="2"/>
        <v>976.2</v>
      </c>
      <c r="G22" s="31">
        <f t="shared" si="3"/>
        <v>3123.84</v>
      </c>
      <c r="H22" s="32">
        <f t="shared" si="4"/>
        <v>1561.92</v>
      </c>
      <c r="I22" s="31">
        <v>0</v>
      </c>
      <c r="J22" s="31">
        <f t="shared" si="5"/>
        <v>97.62</v>
      </c>
      <c r="K22" s="31"/>
      <c r="L22" s="31"/>
      <c r="M22" s="31">
        <f t="shared" si="6"/>
        <v>1464.3000000000002</v>
      </c>
      <c r="N22" s="31">
        <v>0</v>
      </c>
      <c r="O22" s="47">
        <f t="shared" si="7"/>
        <v>7223.88</v>
      </c>
      <c r="P22" s="33">
        <v>0</v>
      </c>
      <c r="Q22" s="33">
        <v>0</v>
      </c>
      <c r="R22" s="31">
        <v>0</v>
      </c>
      <c r="S22" s="34">
        <f t="shared" si="8"/>
        <v>7223.88</v>
      </c>
    </row>
    <row r="23" spans="1:19" ht="12.75">
      <c r="A23" s="29" t="s">
        <v>9</v>
      </c>
      <c r="B23" s="4">
        <f>3693.3+5196.58</f>
        <v>8889.880000000001</v>
      </c>
      <c r="C23" s="4">
        <f>1408.2+2580.4</f>
        <v>3988.6000000000004</v>
      </c>
      <c r="D23" s="4">
        <v>0</v>
      </c>
      <c r="E23" s="30">
        <f t="shared" si="1"/>
        <v>12878.480000000001</v>
      </c>
      <c r="F23" s="31">
        <f t="shared" si="2"/>
        <v>976.2</v>
      </c>
      <c r="G23" s="31">
        <f t="shared" si="3"/>
        <v>3123.84</v>
      </c>
      <c r="H23" s="32">
        <f t="shared" si="4"/>
        <v>1561.92</v>
      </c>
      <c r="I23" s="31">
        <v>0</v>
      </c>
      <c r="J23" s="31">
        <f t="shared" si="5"/>
        <v>97.62</v>
      </c>
      <c r="K23" s="31"/>
      <c r="L23" s="31"/>
      <c r="M23" s="31">
        <f t="shared" si="6"/>
        <v>1464.3000000000002</v>
      </c>
      <c r="N23" s="31">
        <v>400</v>
      </c>
      <c r="O23" s="47">
        <f t="shared" si="7"/>
        <v>7623.88</v>
      </c>
      <c r="P23" s="33">
        <f>410+410+5303</f>
        <v>6123</v>
      </c>
      <c r="Q23" s="33">
        <v>0</v>
      </c>
      <c r="R23" s="31">
        <v>0</v>
      </c>
      <c r="S23" s="34">
        <f t="shared" si="8"/>
        <v>13746.880000000001</v>
      </c>
    </row>
    <row r="24" spans="1:19" ht="12.75">
      <c r="A24" s="29" t="s">
        <v>43</v>
      </c>
      <c r="B24" s="4">
        <f>2323.2+8344.8</f>
        <v>10668</v>
      </c>
      <c r="C24" s="4">
        <f>871.2+3058.68</f>
        <v>3929.88</v>
      </c>
      <c r="D24" s="4">
        <v>0</v>
      </c>
      <c r="E24" s="30">
        <f t="shared" si="1"/>
        <v>14597.880000000001</v>
      </c>
      <c r="F24" s="31">
        <f t="shared" si="2"/>
        <v>976.2</v>
      </c>
      <c r="G24" s="31">
        <f t="shared" si="3"/>
        <v>3123.84</v>
      </c>
      <c r="H24" s="32">
        <f t="shared" si="4"/>
        <v>1561.92</v>
      </c>
      <c r="I24" s="31">
        <v>0</v>
      </c>
      <c r="J24" s="31">
        <f t="shared" si="5"/>
        <v>97.62</v>
      </c>
      <c r="K24" s="31"/>
      <c r="L24" s="31"/>
      <c r="M24" s="31">
        <f t="shared" si="6"/>
        <v>1464.3000000000002</v>
      </c>
      <c r="N24" s="31">
        <v>1000</v>
      </c>
      <c r="O24" s="47">
        <f t="shared" si="7"/>
        <v>8223.880000000001</v>
      </c>
      <c r="P24" s="33">
        <v>0</v>
      </c>
      <c r="Q24" s="33">
        <v>0</v>
      </c>
      <c r="R24" s="31">
        <v>0</v>
      </c>
      <c r="S24" s="34">
        <f t="shared" si="8"/>
        <v>8223.880000000001</v>
      </c>
    </row>
    <row r="25" spans="1:19" ht="12.75">
      <c r="A25" s="29" t="s">
        <v>44</v>
      </c>
      <c r="B25" s="4">
        <f>1560.8+3561.9</f>
        <v>5122.7</v>
      </c>
      <c r="C25" s="4">
        <f>585.3+1541.4</f>
        <v>2126.7</v>
      </c>
      <c r="D25" s="4">
        <v>0</v>
      </c>
      <c r="E25" s="30">
        <f t="shared" si="1"/>
        <v>7249.4</v>
      </c>
      <c r="F25" s="31">
        <f t="shared" si="2"/>
        <v>976.2</v>
      </c>
      <c r="G25" s="31">
        <f t="shared" si="3"/>
        <v>3123.84</v>
      </c>
      <c r="H25" s="32">
        <f t="shared" si="4"/>
        <v>1561.92</v>
      </c>
      <c r="I25" s="31">
        <v>0</v>
      </c>
      <c r="J25" s="31">
        <f t="shared" si="5"/>
        <v>97.62</v>
      </c>
      <c r="K25" s="31"/>
      <c r="L25" s="31"/>
      <c r="M25" s="31">
        <f t="shared" si="6"/>
        <v>1464.3000000000002</v>
      </c>
      <c r="N25" s="31">
        <v>100.01</v>
      </c>
      <c r="O25" s="47">
        <f t="shared" si="7"/>
        <v>7323.89</v>
      </c>
      <c r="P25" s="33">
        <v>0</v>
      </c>
      <c r="Q25" s="33">
        <v>0</v>
      </c>
      <c r="R25" s="31">
        <v>0</v>
      </c>
      <c r="S25" s="34">
        <f t="shared" si="8"/>
        <v>7323.89</v>
      </c>
    </row>
    <row r="26" spans="1:19" ht="12.75">
      <c r="A26" s="29" t="s">
        <v>45</v>
      </c>
      <c r="B26" s="4">
        <f>1492+5040.8</f>
        <v>6532.8</v>
      </c>
      <c r="C26" s="4">
        <f>559.5+1890.3</f>
        <v>2449.8</v>
      </c>
      <c r="D26" s="4">
        <v>0</v>
      </c>
      <c r="E26" s="30">
        <f t="shared" si="1"/>
        <v>8982.6</v>
      </c>
      <c r="F26" s="31">
        <f t="shared" si="2"/>
        <v>976.2</v>
      </c>
      <c r="G26" s="31">
        <f t="shared" si="3"/>
        <v>3123.84</v>
      </c>
      <c r="H26" s="32">
        <f t="shared" si="4"/>
        <v>1561.92</v>
      </c>
      <c r="I26" s="31">
        <v>0</v>
      </c>
      <c r="J26" s="31">
        <f t="shared" si="5"/>
        <v>97.62</v>
      </c>
      <c r="K26" s="31"/>
      <c r="L26" s="31"/>
      <c r="M26" s="31">
        <f t="shared" si="6"/>
        <v>1464.3000000000002</v>
      </c>
      <c r="N26" s="31">
        <v>0</v>
      </c>
      <c r="O26" s="47">
        <f t="shared" si="7"/>
        <v>7223.88</v>
      </c>
      <c r="P26" s="33">
        <v>765</v>
      </c>
      <c r="Q26" s="33">
        <v>0</v>
      </c>
      <c r="R26" s="31">
        <v>0</v>
      </c>
      <c r="S26" s="34">
        <f t="shared" si="8"/>
        <v>7988.88</v>
      </c>
    </row>
    <row r="27" spans="1:19" ht="12.75">
      <c r="A27" s="29" t="s">
        <v>46</v>
      </c>
      <c r="B27" s="4">
        <f>3254.4+5214.4</f>
        <v>8468.8</v>
      </c>
      <c r="C27" s="4">
        <f>1220.4+1913.4</f>
        <v>3133.8</v>
      </c>
      <c r="D27" s="4">
        <v>0</v>
      </c>
      <c r="E27" s="30">
        <f t="shared" si="1"/>
        <v>11602.599999999999</v>
      </c>
      <c r="F27" s="31">
        <f t="shared" si="2"/>
        <v>976.2</v>
      </c>
      <c r="G27" s="31">
        <f t="shared" si="3"/>
        <v>3123.84</v>
      </c>
      <c r="H27" s="32">
        <f t="shared" si="4"/>
        <v>1561.92</v>
      </c>
      <c r="I27" s="31">
        <v>0</v>
      </c>
      <c r="J27" s="31">
        <f t="shared" si="5"/>
        <v>97.62</v>
      </c>
      <c r="K27" s="31"/>
      <c r="L27" s="31"/>
      <c r="M27" s="31">
        <f t="shared" si="6"/>
        <v>1464.3000000000002</v>
      </c>
      <c r="N27" s="31">
        <v>0</v>
      </c>
      <c r="O27" s="47">
        <f t="shared" si="7"/>
        <v>7223.88</v>
      </c>
      <c r="P27" s="33">
        <v>0</v>
      </c>
      <c r="Q27" s="33">
        <v>0</v>
      </c>
      <c r="R27" s="31">
        <v>0</v>
      </c>
      <c r="S27" s="34">
        <f t="shared" si="8"/>
        <v>7223.88</v>
      </c>
    </row>
    <row r="28" spans="1:19" ht="24">
      <c r="A28" s="35" t="s">
        <v>47</v>
      </c>
      <c r="B28" s="4">
        <v>0</v>
      </c>
      <c r="C28" s="4">
        <v>0</v>
      </c>
      <c r="D28" s="4">
        <v>0</v>
      </c>
      <c r="E28" s="4"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47"/>
      <c r="P28" s="33"/>
      <c r="Q28" s="33"/>
      <c r="R28" s="31"/>
      <c r="S28" s="34"/>
    </row>
    <row r="29" spans="1:19" ht="12.75">
      <c r="A29" s="36" t="s">
        <v>2</v>
      </c>
      <c r="B29" s="37">
        <f>SUM(B16:B28)</f>
        <v>85045.3</v>
      </c>
      <c r="C29" s="37">
        <f>SUM(C16:C28)</f>
        <v>31489.379999999997</v>
      </c>
      <c r="D29" s="37">
        <f>SUM(D16:D28)</f>
        <v>0</v>
      </c>
      <c r="E29" s="37">
        <f>SUM(E15:E28)</f>
        <v>76832.48999999999</v>
      </c>
      <c r="F29" s="37">
        <f>SUM(F16:F28)</f>
        <v>11714.400000000001</v>
      </c>
      <c r="G29" s="37">
        <f>SUM(G16:G28)</f>
        <v>37486.08</v>
      </c>
      <c r="H29" s="37">
        <f>SUM(H16:H28)</f>
        <v>18743.04</v>
      </c>
      <c r="I29" s="37">
        <f>SUM(I16:I28)</f>
        <v>0</v>
      </c>
      <c r="J29" s="37">
        <f>SUM(J16:J28)</f>
        <v>1171.44</v>
      </c>
      <c r="K29" s="37"/>
      <c r="L29" s="37"/>
      <c r="M29" s="37">
        <f aca="true" t="shared" si="9" ref="M29:S29">SUM(M16:M28)</f>
        <v>17571.6</v>
      </c>
      <c r="N29" s="37">
        <f t="shared" si="9"/>
        <v>3424.01</v>
      </c>
      <c r="O29" s="37">
        <f t="shared" si="9"/>
        <v>90110.57</v>
      </c>
      <c r="P29" s="37">
        <f t="shared" si="9"/>
        <v>8855</v>
      </c>
      <c r="Q29" s="37">
        <f t="shared" si="9"/>
        <v>0</v>
      </c>
      <c r="R29" s="37">
        <f t="shared" si="9"/>
        <v>0</v>
      </c>
      <c r="S29" s="38">
        <f t="shared" si="9"/>
        <v>98965.57</v>
      </c>
    </row>
    <row r="30" spans="1:19" ht="12.7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 t="s">
        <v>12</v>
      </c>
      <c r="R30" s="62">
        <f>E29-S29</f>
        <v>-22133.080000000016</v>
      </c>
      <c r="S30" s="62"/>
    </row>
    <row r="31" spans="1:19" ht="12.75">
      <c r="A31" s="48"/>
      <c r="B31" s="49" t="s">
        <v>4</v>
      </c>
      <c r="C31" s="49" t="s">
        <v>68</v>
      </c>
      <c r="D31" s="49" t="s">
        <v>67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</row>
    <row r="32" spans="2:4" ht="12.75">
      <c r="B32" s="51" t="s">
        <v>9</v>
      </c>
      <c r="C32" s="51" t="s">
        <v>69</v>
      </c>
      <c r="D32" s="51" t="s">
        <v>67</v>
      </c>
    </row>
    <row r="33" spans="2:17" ht="12.75">
      <c r="B33" s="51" t="s">
        <v>10</v>
      </c>
      <c r="C33" s="51" t="s">
        <v>70</v>
      </c>
      <c r="D33" s="51" t="s">
        <v>71</v>
      </c>
      <c r="Q33" s="56"/>
    </row>
    <row r="34" spans="2:4" ht="12.75">
      <c r="B34" s="51" t="s">
        <v>11</v>
      </c>
      <c r="C34" s="51" t="s">
        <v>72</v>
      </c>
      <c r="D34" s="51" t="s">
        <v>73</v>
      </c>
    </row>
    <row r="35" spans="2:4" ht="12.75">
      <c r="B35" s="51"/>
      <c r="C35" s="51"/>
      <c r="D35" s="51"/>
    </row>
    <row r="36" spans="2:4" ht="12.75">
      <c r="B36" s="51"/>
      <c r="C36" s="51"/>
      <c r="D36" s="51"/>
    </row>
    <row r="37" spans="2:4" ht="12.75">
      <c r="B37" s="51"/>
      <c r="C37" s="51"/>
      <c r="D37" s="51"/>
    </row>
    <row r="38" spans="2:4" ht="12.75">
      <c r="B38" s="51"/>
      <c r="C38" s="51"/>
      <c r="D38" s="51"/>
    </row>
    <row r="39" spans="2:4" ht="12.75">
      <c r="B39" s="51"/>
      <c r="C39" s="51"/>
      <c r="D39" s="51"/>
    </row>
    <row r="40" spans="1:19" ht="15">
      <c r="A40" s="98" t="s">
        <v>48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1:19" ht="12.75">
      <c r="A41" s="99" t="s">
        <v>49</v>
      </c>
      <c r="B41" s="99"/>
      <c r="C41" s="100" t="s">
        <v>6</v>
      </c>
      <c r="D41" s="100"/>
      <c r="E41" s="100"/>
      <c r="F41" s="100"/>
      <c r="G41" s="100"/>
      <c r="H41" s="100"/>
      <c r="I41" s="100"/>
      <c r="J41" s="100"/>
      <c r="K41" s="100"/>
      <c r="L41" s="101" t="s">
        <v>50</v>
      </c>
      <c r="M41" s="102"/>
      <c r="N41" s="103"/>
      <c r="O41" s="99" t="s">
        <v>51</v>
      </c>
      <c r="P41" s="71"/>
      <c r="Q41" s="99" t="s">
        <v>52</v>
      </c>
      <c r="R41" s="99"/>
      <c r="S41" s="71" t="s">
        <v>53</v>
      </c>
    </row>
    <row r="42" spans="1:19" ht="12.75">
      <c r="A42" s="99"/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4"/>
      <c r="M42" s="105"/>
      <c r="N42" s="106"/>
      <c r="O42" s="99"/>
      <c r="P42" s="72"/>
      <c r="Q42" s="99"/>
      <c r="R42" s="99"/>
      <c r="S42" s="72"/>
    </row>
    <row r="43" spans="1:19" ht="12.75">
      <c r="A43" s="83"/>
      <c r="B43" s="84"/>
      <c r="C43" s="85" t="s">
        <v>54</v>
      </c>
      <c r="D43" s="86"/>
      <c r="E43" s="86"/>
      <c r="F43" s="86"/>
      <c r="G43" s="86"/>
      <c r="H43" s="86"/>
      <c r="I43" s="86"/>
      <c r="J43" s="86"/>
      <c r="K43" s="87"/>
      <c r="L43" s="88"/>
      <c r="M43" s="89"/>
      <c r="N43" s="90"/>
      <c r="O43" s="5"/>
      <c r="P43" s="5"/>
      <c r="Q43" s="60"/>
      <c r="R43" s="60"/>
      <c r="S43" s="5"/>
    </row>
    <row r="44" spans="1:19" ht="12.75">
      <c r="A44" s="83"/>
      <c r="B44" s="84"/>
      <c r="C44" s="85" t="s">
        <v>55</v>
      </c>
      <c r="D44" s="86"/>
      <c r="E44" s="86"/>
      <c r="F44" s="86"/>
      <c r="G44" s="86"/>
      <c r="H44" s="86"/>
      <c r="I44" s="86"/>
      <c r="J44" s="86"/>
      <c r="K44" s="87"/>
      <c r="L44" s="64" t="s">
        <v>56</v>
      </c>
      <c r="M44" s="65"/>
      <c r="N44" s="66"/>
      <c r="O44" s="39">
        <v>0.05</v>
      </c>
      <c r="P44" s="40"/>
      <c r="Q44" s="61">
        <f>SUM(O44*2487*12)</f>
        <v>1492.2</v>
      </c>
      <c r="R44" s="61"/>
      <c r="S44" s="39"/>
    </row>
    <row r="45" spans="1:19" ht="12.75">
      <c r="A45" s="83"/>
      <c r="B45" s="84"/>
      <c r="C45" s="85" t="s">
        <v>57</v>
      </c>
      <c r="D45" s="86"/>
      <c r="E45" s="86"/>
      <c r="F45" s="86"/>
      <c r="G45" s="86"/>
      <c r="H45" s="86"/>
      <c r="I45" s="86"/>
      <c r="J45" s="86"/>
      <c r="K45" s="87"/>
      <c r="L45" s="64" t="s">
        <v>56</v>
      </c>
      <c r="M45" s="65"/>
      <c r="N45" s="66"/>
      <c r="O45" s="39">
        <v>0.05</v>
      </c>
      <c r="P45" s="40"/>
      <c r="Q45" s="61">
        <f aca="true" t="shared" si="10" ref="Q45:Q51">SUM(O45*2487*12)</f>
        <v>1492.2</v>
      </c>
      <c r="R45" s="61"/>
      <c r="S45" s="39"/>
    </row>
    <row r="46" spans="1:19" ht="12.75">
      <c r="A46" s="83"/>
      <c r="B46" s="84"/>
      <c r="C46" s="85" t="s">
        <v>58</v>
      </c>
      <c r="D46" s="86"/>
      <c r="E46" s="86"/>
      <c r="F46" s="86"/>
      <c r="G46" s="86"/>
      <c r="H46" s="86"/>
      <c r="I46" s="86"/>
      <c r="J46" s="86"/>
      <c r="K46" s="87"/>
      <c r="L46" s="64" t="s">
        <v>59</v>
      </c>
      <c r="M46" s="65"/>
      <c r="N46" s="66"/>
      <c r="O46" s="39">
        <v>0.15</v>
      </c>
      <c r="P46" s="40"/>
      <c r="Q46" s="61">
        <f t="shared" si="10"/>
        <v>4476.6</v>
      </c>
      <c r="R46" s="61"/>
      <c r="S46" s="39"/>
    </row>
    <row r="47" spans="1:19" ht="12.75">
      <c r="A47" s="73"/>
      <c r="B47" s="58"/>
      <c r="C47" s="80" t="s">
        <v>60</v>
      </c>
      <c r="D47" s="81"/>
      <c r="E47" s="81"/>
      <c r="F47" s="81"/>
      <c r="G47" s="81"/>
      <c r="H47" s="81"/>
      <c r="I47" s="81"/>
      <c r="J47" s="81"/>
      <c r="K47" s="82"/>
      <c r="L47" s="64" t="s">
        <v>56</v>
      </c>
      <c r="M47" s="65"/>
      <c r="N47" s="66"/>
      <c r="O47" s="3">
        <v>0.15</v>
      </c>
      <c r="P47" s="3"/>
      <c r="Q47" s="61">
        <f t="shared" si="10"/>
        <v>4476.6</v>
      </c>
      <c r="R47" s="61"/>
      <c r="S47" s="3"/>
    </row>
    <row r="48" spans="1:19" ht="12.75">
      <c r="A48" s="61"/>
      <c r="B48" s="61"/>
      <c r="C48" s="74" t="s">
        <v>61</v>
      </c>
      <c r="D48" s="75"/>
      <c r="E48" s="75"/>
      <c r="F48" s="75"/>
      <c r="G48" s="75"/>
      <c r="H48" s="75"/>
      <c r="I48" s="75"/>
      <c r="J48" s="75"/>
      <c r="K48" s="76"/>
      <c r="L48" s="77" t="s">
        <v>62</v>
      </c>
      <c r="M48" s="78"/>
      <c r="N48" s="79"/>
      <c r="O48" s="3">
        <v>0.25</v>
      </c>
      <c r="P48" s="3"/>
      <c r="Q48" s="61">
        <f t="shared" si="10"/>
        <v>7461</v>
      </c>
      <c r="R48" s="61"/>
      <c r="S48" s="3"/>
    </row>
    <row r="49" spans="1:19" ht="12.75">
      <c r="A49" s="73"/>
      <c r="B49" s="58"/>
      <c r="C49" s="74" t="s">
        <v>63</v>
      </c>
      <c r="D49" s="75"/>
      <c r="E49" s="75"/>
      <c r="F49" s="75"/>
      <c r="G49" s="75"/>
      <c r="H49" s="75"/>
      <c r="I49" s="75"/>
      <c r="J49" s="75"/>
      <c r="K49" s="76"/>
      <c r="L49" s="77" t="s">
        <v>62</v>
      </c>
      <c r="M49" s="78"/>
      <c r="N49" s="79"/>
      <c r="O49" s="3">
        <v>0.1</v>
      </c>
      <c r="P49" s="41"/>
      <c r="Q49" s="61">
        <f t="shared" si="10"/>
        <v>2984.4</v>
      </c>
      <c r="R49" s="61"/>
      <c r="S49" s="3"/>
    </row>
    <row r="50" spans="1:19" ht="12.75">
      <c r="A50" s="61"/>
      <c r="B50" s="61"/>
      <c r="C50" s="80" t="s">
        <v>64</v>
      </c>
      <c r="D50" s="81"/>
      <c r="E50" s="81"/>
      <c r="F50" s="81"/>
      <c r="G50" s="81"/>
      <c r="H50" s="81"/>
      <c r="I50" s="81"/>
      <c r="J50" s="81"/>
      <c r="K50" s="82"/>
      <c r="L50" s="77" t="s">
        <v>62</v>
      </c>
      <c r="M50" s="78"/>
      <c r="N50" s="79"/>
      <c r="O50" s="3">
        <v>0.25</v>
      </c>
      <c r="P50" s="3"/>
      <c r="Q50" s="61">
        <f t="shared" si="10"/>
        <v>7461</v>
      </c>
      <c r="R50" s="61"/>
      <c r="S50" s="3"/>
    </row>
    <row r="51" spans="1:19" ht="12.75">
      <c r="A51" s="42"/>
      <c r="B51" s="6"/>
      <c r="C51" s="63" t="s">
        <v>65</v>
      </c>
      <c r="D51" s="63"/>
      <c r="E51" s="63"/>
      <c r="F51" s="63"/>
      <c r="G51" s="63"/>
      <c r="H51" s="63"/>
      <c r="I51" s="63"/>
      <c r="J51" s="63"/>
      <c r="K51" s="63"/>
      <c r="L51" s="64" t="s">
        <v>56</v>
      </c>
      <c r="M51" s="65"/>
      <c r="N51" s="66"/>
      <c r="O51" s="2">
        <v>1</v>
      </c>
      <c r="P51" s="43"/>
      <c r="Q51" s="61">
        <f t="shared" si="10"/>
        <v>29844</v>
      </c>
      <c r="R51" s="61"/>
      <c r="S51" s="3"/>
    </row>
    <row r="52" spans="5:19" ht="12.75">
      <c r="E52" s="67" t="s">
        <v>13</v>
      </c>
      <c r="F52" s="68"/>
      <c r="G52" s="68"/>
      <c r="H52" s="68"/>
      <c r="I52" s="68"/>
      <c r="J52" s="68"/>
      <c r="K52" s="68"/>
      <c r="L52" s="68"/>
      <c r="M52" s="68"/>
      <c r="N52" s="69"/>
      <c r="O52" s="44">
        <f>SUM(O44:O51)</f>
        <v>2</v>
      </c>
      <c r="P52" s="45"/>
      <c r="Q52" s="70">
        <f>SUM(Q44:Q51)</f>
        <v>59688</v>
      </c>
      <c r="R52" s="70"/>
      <c r="S52" s="3"/>
    </row>
  </sheetData>
  <sheetProtection/>
  <mergeCells count="77"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  <mergeCell ref="M8:M9"/>
    <mergeCell ref="N8:N9"/>
    <mergeCell ref="C8:C9"/>
    <mergeCell ref="D8:D9"/>
    <mergeCell ref="E8:E9"/>
    <mergeCell ref="F8:F9"/>
    <mergeCell ref="G8:G9"/>
    <mergeCell ref="H8:H9"/>
    <mergeCell ref="O8:O9"/>
    <mergeCell ref="P10:Q10"/>
    <mergeCell ref="A12:D12"/>
    <mergeCell ref="F12:N12"/>
    <mergeCell ref="P12:Q12"/>
    <mergeCell ref="A13:E13"/>
    <mergeCell ref="I8:I9"/>
    <mergeCell ref="J8:J9"/>
    <mergeCell ref="K8:K9"/>
    <mergeCell ref="L8:L9"/>
    <mergeCell ref="A14:E14"/>
    <mergeCell ref="F14:S14"/>
    <mergeCell ref="A15:D15"/>
    <mergeCell ref="A40:S40"/>
    <mergeCell ref="A41:B42"/>
    <mergeCell ref="C41:K42"/>
    <mergeCell ref="L41:N42"/>
    <mergeCell ref="O41:O42"/>
    <mergeCell ref="P41:P42"/>
    <mergeCell ref="Q41:R42"/>
    <mergeCell ref="A43:B43"/>
    <mergeCell ref="C43:K43"/>
    <mergeCell ref="L43:N43"/>
    <mergeCell ref="Q43:R43"/>
    <mergeCell ref="A44:B44"/>
    <mergeCell ref="C44:K44"/>
    <mergeCell ref="L44:N44"/>
    <mergeCell ref="Q44:R44"/>
    <mergeCell ref="A45:B45"/>
    <mergeCell ref="C45:K45"/>
    <mergeCell ref="L45:N45"/>
    <mergeCell ref="Q45:R45"/>
    <mergeCell ref="A46:B46"/>
    <mergeCell ref="C46:K46"/>
    <mergeCell ref="L46:N46"/>
    <mergeCell ref="Q46:R46"/>
    <mergeCell ref="A47:B47"/>
    <mergeCell ref="C47:K47"/>
    <mergeCell ref="L47:N47"/>
    <mergeCell ref="Q47:R47"/>
    <mergeCell ref="A48:B48"/>
    <mergeCell ref="C48:K48"/>
    <mergeCell ref="L48:N48"/>
    <mergeCell ref="Q48:R48"/>
    <mergeCell ref="A49:B49"/>
    <mergeCell ref="C49:K49"/>
    <mergeCell ref="L49:N49"/>
    <mergeCell ref="Q49:R49"/>
    <mergeCell ref="A50:B50"/>
    <mergeCell ref="C50:K50"/>
    <mergeCell ref="L50:N50"/>
    <mergeCell ref="Q50:R50"/>
    <mergeCell ref="R30:S30"/>
    <mergeCell ref="C51:K51"/>
    <mergeCell ref="L51:N51"/>
    <mergeCell ref="Q51:R51"/>
    <mergeCell ref="E52:N52"/>
    <mergeCell ref="Q52:R52"/>
    <mergeCell ref="S41:S42"/>
  </mergeCells>
  <printOptions/>
  <pageMargins left="0.09375" right="0.0625" top="0.218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2017-02-03T11:12:02Z</cp:lastPrinted>
  <dcterms:created xsi:type="dcterms:W3CDTF">2007-02-04T12:22:59Z</dcterms:created>
  <dcterms:modified xsi:type="dcterms:W3CDTF">2017-02-06T10:01:45Z</dcterms:modified>
  <cp:category/>
  <cp:version/>
  <cp:contentType/>
  <cp:contentStatus/>
</cp:coreProperties>
</file>