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35" windowHeight="11460" activeTab="0"/>
  </bookViews>
  <sheets>
    <sheet name="2016" sheetId="1" r:id="rId1"/>
  </sheets>
  <definedNames>
    <definedName name="_xlnm.Print_Area" localSheetId="0">'2016'!$B$32:$G$41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1959-вывоз мусора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покос-2108р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2108р-покос
500р-отрава
500р-обрезка поросли
540р-цемент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2710р-дезинсекция 4и5 подъезд
1551,38р-тех.обслуживание ОДГО</t>
        </r>
      </text>
    </comment>
    <comment ref="N2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разовая премия дворнику-2664р
изоляция-70м</t>
        </r>
      </text>
    </comment>
  </commentList>
</comments>
</file>

<file path=xl/sharedStrings.xml><?xml version="1.0" encoding="utf-8"?>
<sst xmlns="http://schemas.openxmlformats.org/spreadsheetml/2006/main" count="87" uniqueCount="78">
  <si>
    <t>Содержание</t>
  </si>
  <si>
    <t>ремонт</t>
  </si>
  <si>
    <t>итого</t>
  </si>
  <si>
    <t>Наименование работ</t>
  </si>
  <si>
    <t>декабрь</t>
  </si>
  <si>
    <t>январь</t>
  </si>
  <si>
    <t>ИТОГО</t>
  </si>
  <si>
    <t>март</t>
  </si>
  <si>
    <t>май</t>
  </si>
  <si>
    <t>июнь</t>
  </si>
  <si>
    <t>июль</t>
  </si>
  <si>
    <t>август</t>
  </si>
  <si>
    <t>октябрь</t>
  </si>
  <si>
    <t>ИТОГО: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</si>
  <si>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</si>
  <si>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</si>
  <si>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</si>
  <si>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</si>
  <si>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</si>
  <si>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</si>
  <si>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</si>
  <si>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</si>
  <si>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</si>
  <si>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</si>
  <si>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</si>
  <si>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</si>
  <si>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</si>
  <si>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</si>
  <si>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</si>
  <si>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</si>
  <si>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</si>
  <si>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</si>
  <si>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</si>
  <si>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</si>
  <si>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</si>
  <si>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</si>
  <si>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</si>
  <si>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</si>
  <si>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</si>
  <si>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</si>
  <si>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</si>
  <si>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</si>
  <si>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</si>
  <si>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</si>
  <si>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</si>
  <si>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</si>
  <si>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</si>
  <si>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</si>
  <si>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</si>
  <si>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</si>
  <si>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</si>
  <si>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</si>
  <si>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</si>
  <si>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</si>
  <si>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</si>
  <si>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</si>
  <si>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</si>
  <si>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</si>
  <si>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</si>
  <si>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</si>
  <si>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</si>
  <si>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</si>
  <si>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</si>
  <si>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</si>
  <si>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</si>
  <si>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</si>
  <si>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</si>
  <si>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__Ленинградская 46__на 2016год.</t>
  </si>
  <si>
    <t>вывоз мусора</t>
  </si>
  <si>
    <t>покос</t>
  </si>
  <si>
    <t>отрава</t>
  </si>
  <si>
    <t>обрезка поросли</t>
  </si>
  <si>
    <t>цемент</t>
  </si>
  <si>
    <t>разовая премия дворнику</t>
  </si>
  <si>
    <t xml:space="preserve"> </t>
  </si>
  <si>
    <t>дезинсекция 4и5 подъезд</t>
  </si>
  <si>
    <t>тех.обслуживание ОДГО</t>
  </si>
  <si>
    <t>изоляция 70м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</si>
</sst>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_р_."/>
    <numFmt numFmtId="167" formatCode="#,##0.000_р_."/>
    <numFmt numFmtId="168" formatCode="#,##0_р_."/>
    <numFmt numFmtId="169" formatCode="#,##0.0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0&quot;р.&quot;"/>
    <numFmt numFmtId="176" formatCode="#,##0&quot;р.&quot;"/>
  </numFmts>
  <fonts count="52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8"/>
      <color indexed="1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8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4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" fillId="34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left" wrapText="1"/>
    </xf>
    <xf numFmtId="0" fontId="48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17" fontId="4" fillId="35" borderId="10" xfId="0" applyNumberFormat="1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/>
    </xf>
    <xf numFmtId="164" fontId="2" fillId="13" borderId="10" xfId="0" applyNumberFormat="1" applyFont="1" applyFill="1" applyBorder="1" applyAlignment="1">
      <alignment/>
    </xf>
    <xf numFmtId="164" fontId="2" fillId="13" borderId="13" xfId="0" applyNumberFormat="1" applyFont="1" applyFill="1" applyBorder="1" applyAlignment="1">
      <alignment/>
    </xf>
    <xf numFmtId="164" fontId="2" fillId="7" borderId="10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4" fillId="12" borderId="10" xfId="0" applyNumberFormat="1" applyFont="1" applyFill="1" applyBorder="1" applyAlignment="1">
      <alignment horizontal="left" wrapText="1"/>
    </xf>
    <xf numFmtId="164" fontId="2" fillId="36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64" fontId="2" fillId="9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164" fontId="49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3" fillId="37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wrapText="1"/>
    </xf>
    <xf numFmtId="0" fontId="0" fillId="37" borderId="17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0" fillId="0" borderId="19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textRotation="90" wrapText="1"/>
    </xf>
    <xf numFmtId="0" fontId="0" fillId="0" borderId="13" xfId="0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1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5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left" wrapText="1"/>
    </xf>
    <xf numFmtId="2" fontId="1" fillId="0" borderId="20" xfId="0" applyNumberFormat="1" applyFont="1" applyBorder="1" applyAlignment="1">
      <alignment horizontal="left" wrapText="1"/>
    </xf>
    <xf numFmtId="2" fontId="1" fillId="0" borderId="21" xfId="0" applyNumberFormat="1" applyFont="1" applyBorder="1" applyAlignment="1">
      <alignment horizontal="left" wrapText="1"/>
    </xf>
    <xf numFmtId="2" fontId="1" fillId="0" borderId="22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textRotation="90" wrapText="1"/>
    </xf>
    <xf numFmtId="2" fontId="1" fillId="0" borderId="23" xfId="0" applyNumberFormat="1" applyFont="1" applyBorder="1" applyAlignment="1">
      <alignment horizontal="left" textRotation="90" wrapText="1"/>
    </xf>
    <xf numFmtId="2" fontId="1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U55"/>
  <sheetViews>
    <sheetView tabSelected="1" workbookViewId="0" topLeftCell="A7">
      <selection activeCell="H37" sqref="H37"/>
    </sheetView>
  </sheetViews>
  <sheetFormatPr defaultColWidth="9.00390625" defaultRowHeight="12.75"/>
  <cols>
    <col min="1" max="1" width="4.375" style="0" customWidth="1"/>
    <col min="2" max="2" width="10.00390625" style="0" bestFit="1" customWidth="1"/>
    <col min="3" max="3" width="9.75390625" style="0" customWidth="1"/>
    <col min="4" max="4" width="5.125" style="0" customWidth="1"/>
    <col min="5" max="5" width="9.75390625" style="0" customWidth="1"/>
    <col min="7" max="7" width="9.00390625" style="0" customWidth="1"/>
    <col min="9" max="9" width="9.00390625" style="0" customWidth="1"/>
    <col min="10" max="10" width="9.125" style="0" customWidth="1"/>
    <col min="11" max="12" width="9.125" style="0" hidden="1" customWidth="1"/>
    <col min="15" max="15" width="10.00390625" style="0" customWidth="1"/>
    <col min="16" max="16" width="9.75390625" style="0" customWidth="1"/>
    <col min="17" max="17" width="7.375" style="0" customWidth="1"/>
    <col min="19" max="19" width="8.75390625" style="0" customWidth="1"/>
    <col min="20" max="20" width="9.75390625" style="0" bestFit="1" customWidth="1"/>
  </cols>
  <sheetData>
    <row r="1" ht="12.75" hidden="1"/>
    <row r="2" ht="12.75" hidden="1"/>
    <row r="3" ht="12.75" hidden="1"/>
    <row r="4" spans="1:19" ht="15.75">
      <c r="A4" s="129" t="s">
        <v>67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2.75">
      <c r="A6" s="130"/>
      <c r="B6" s="59"/>
      <c r="C6" s="59"/>
      <c r="D6" s="59"/>
      <c r="E6" s="60"/>
      <c r="F6" s="61" t="s">
        <v>15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4"/>
    </row>
    <row r="7" spans="1:19" ht="12.75">
      <c r="A7" s="9"/>
      <c r="B7" s="131" t="s">
        <v>16</v>
      </c>
      <c r="C7" s="131"/>
      <c r="D7" s="131"/>
      <c r="E7" s="131"/>
      <c r="F7" s="132" t="s">
        <v>0</v>
      </c>
      <c r="G7" s="133"/>
      <c r="H7" s="133"/>
      <c r="I7" s="133"/>
      <c r="J7" s="133"/>
      <c r="K7" s="133"/>
      <c r="L7" s="133"/>
      <c r="M7" s="133"/>
      <c r="N7" s="133"/>
      <c r="O7" s="134"/>
      <c r="P7" s="135" t="s">
        <v>17</v>
      </c>
      <c r="Q7" s="136"/>
      <c r="R7" s="139" t="s">
        <v>18</v>
      </c>
      <c r="S7" s="142" t="s">
        <v>6</v>
      </c>
    </row>
    <row r="8" spans="1:19" ht="12.75">
      <c r="A8" s="10"/>
      <c r="B8" s="124" t="s">
        <v>19</v>
      </c>
      <c r="C8" s="124" t="s">
        <v>1</v>
      </c>
      <c r="D8" s="124" t="s">
        <v>20</v>
      </c>
      <c r="E8" s="126" t="s">
        <v>2</v>
      </c>
      <c r="F8" s="122" t="s">
        <v>21</v>
      </c>
      <c r="G8" s="122" t="s">
        <v>22</v>
      </c>
      <c r="H8" s="122" t="s">
        <v>23</v>
      </c>
      <c r="I8" s="122" t="s">
        <v>24</v>
      </c>
      <c r="J8" s="122" t="s">
        <v>25</v>
      </c>
      <c r="K8" s="122" t="s">
        <v>26</v>
      </c>
      <c r="L8" s="122" t="s">
        <v>27</v>
      </c>
      <c r="M8" s="122" t="s">
        <v>28</v>
      </c>
      <c r="N8" s="122" t="s">
        <v>29</v>
      </c>
      <c r="O8" s="109" t="s">
        <v>30</v>
      </c>
      <c r="P8" s="137"/>
      <c r="Q8" s="138"/>
      <c r="R8" s="140"/>
      <c r="S8" s="143"/>
    </row>
    <row r="9" spans="1:19" ht="73.5">
      <c r="A9" s="12"/>
      <c r="B9" s="125"/>
      <c r="C9" s="125"/>
      <c r="D9" s="125"/>
      <c r="E9" s="127"/>
      <c r="F9" s="128"/>
      <c r="G9" s="123"/>
      <c r="H9" s="123"/>
      <c r="I9" s="123"/>
      <c r="J9" s="123"/>
      <c r="K9" s="123"/>
      <c r="L9" s="123"/>
      <c r="M9" s="123"/>
      <c r="N9" s="123"/>
      <c r="O9" s="110"/>
      <c r="P9" s="11" t="s">
        <v>31</v>
      </c>
      <c r="Q9" s="11" t="s">
        <v>32</v>
      </c>
      <c r="R9" s="141"/>
      <c r="S9" s="144"/>
    </row>
    <row r="10" spans="1:21" ht="12.75">
      <c r="A10" s="49">
        <v>2015</v>
      </c>
      <c r="B10" s="13">
        <v>5.2</v>
      </c>
      <c r="C10" s="13">
        <v>4</v>
      </c>
      <c r="D10" s="13">
        <v>1</v>
      </c>
      <c r="E10" s="14">
        <f>B10+C10+D10</f>
        <v>10.2</v>
      </c>
      <c r="F10" s="43">
        <v>0.89</v>
      </c>
      <c r="G10" s="16">
        <v>1.21</v>
      </c>
      <c r="H10" s="16">
        <v>1.4</v>
      </c>
      <c r="I10" s="16">
        <v>0.44</v>
      </c>
      <c r="J10" s="16">
        <v>0.9</v>
      </c>
      <c r="K10" s="16">
        <v>0</v>
      </c>
      <c r="L10" s="16">
        <v>0</v>
      </c>
      <c r="M10" s="16">
        <v>1.47</v>
      </c>
      <c r="N10" s="16">
        <v>0</v>
      </c>
      <c r="O10" s="17">
        <f>SUM(F10:N10)</f>
        <v>6.31</v>
      </c>
      <c r="P10" s="111">
        <v>2.7</v>
      </c>
      <c r="Q10" s="112"/>
      <c r="R10" s="18">
        <v>0.83</v>
      </c>
      <c r="S10" s="15">
        <f>O10+P10+R10</f>
        <v>9.84</v>
      </c>
      <c r="U10" t="s">
        <v>74</v>
      </c>
    </row>
    <row r="11" spans="1:19" ht="12.75">
      <c r="A11" s="50">
        <v>2016</v>
      </c>
      <c r="B11" s="19">
        <v>8.5</v>
      </c>
      <c r="C11" s="19">
        <v>2</v>
      </c>
      <c r="D11" s="19">
        <v>1.5</v>
      </c>
      <c r="E11" s="21">
        <f>SUM(B11:D11)</f>
        <v>12</v>
      </c>
      <c r="F11" s="51">
        <v>1</v>
      </c>
      <c r="G11" s="51">
        <v>1.57</v>
      </c>
      <c r="H11" s="51">
        <v>1.6</v>
      </c>
      <c r="I11" s="51">
        <v>0.48</v>
      </c>
      <c r="J11" s="51">
        <v>0.35</v>
      </c>
      <c r="K11" s="51">
        <v>0</v>
      </c>
      <c r="L11" s="51">
        <v>0</v>
      </c>
      <c r="M11" s="51">
        <v>1.5</v>
      </c>
      <c r="N11" s="51">
        <v>2</v>
      </c>
      <c r="O11" s="52">
        <f>SUM(F11:N11)</f>
        <v>8.5</v>
      </c>
      <c r="P11" s="53">
        <v>1</v>
      </c>
      <c r="Q11" s="53">
        <v>1</v>
      </c>
      <c r="R11" s="54">
        <v>1.5</v>
      </c>
      <c r="S11" s="20">
        <f>O11+P11+Q11+R11</f>
        <v>12</v>
      </c>
    </row>
    <row r="12" spans="1:19" ht="24">
      <c r="A12" s="113" t="s">
        <v>33</v>
      </c>
      <c r="B12" s="113"/>
      <c r="C12" s="113"/>
      <c r="D12" s="113"/>
      <c r="E12" s="21">
        <v>3630.4</v>
      </c>
      <c r="F12" s="114" t="s">
        <v>34</v>
      </c>
      <c r="G12" s="115"/>
      <c r="H12" s="115"/>
      <c r="I12" s="115"/>
      <c r="J12" s="115"/>
      <c r="K12" s="115"/>
      <c r="L12" s="115"/>
      <c r="M12" s="115"/>
      <c r="N12" s="116"/>
      <c r="O12" s="20"/>
      <c r="P12" s="117" t="s">
        <v>35</v>
      </c>
      <c r="Q12" s="118"/>
      <c r="R12" s="20" t="s">
        <v>36</v>
      </c>
      <c r="S12" s="20"/>
    </row>
    <row r="13" spans="1:19" ht="12.75">
      <c r="A13" s="119" t="s">
        <v>37</v>
      </c>
      <c r="B13" s="120"/>
      <c r="C13" s="120"/>
      <c r="D13" s="120"/>
      <c r="E13" s="121"/>
      <c r="F13" s="22">
        <f>E12*F11</f>
        <v>3630.4</v>
      </c>
      <c r="G13" s="22">
        <f>E12*G11</f>
        <v>5699.728</v>
      </c>
      <c r="H13" s="22">
        <f>E12*H11</f>
        <v>5808.64</v>
      </c>
      <c r="I13" s="22">
        <f>E12*I11</f>
        <v>1742.5919999999999</v>
      </c>
      <c r="J13" s="22">
        <f>E12*J11</f>
        <v>1270.6399999999999</v>
      </c>
      <c r="K13" s="22">
        <f>SUM(K11*2487)</f>
        <v>0</v>
      </c>
      <c r="L13" s="22">
        <f>SUM(L11*2487)</f>
        <v>0</v>
      </c>
      <c r="M13" s="22">
        <f>E12*M11</f>
        <v>5445.6</v>
      </c>
      <c r="N13" s="22">
        <f>E12*N11</f>
        <v>7260.8</v>
      </c>
      <c r="O13" s="22">
        <f>SUM(F13:N13)</f>
        <v>30858.399999999998</v>
      </c>
      <c r="P13" s="22">
        <f>E12*P11</f>
        <v>3630.4</v>
      </c>
      <c r="Q13" s="22">
        <f>E12*Q11</f>
        <v>3630.4</v>
      </c>
      <c r="R13" s="22">
        <f>E12*R11</f>
        <v>5445.6</v>
      </c>
      <c r="S13" s="22">
        <f>O13+P13+Q13+R13</f>
        <v>43564.799999999996</v>
      </c>
    </row>
    <row r="14" spans="1:20" ht="12.75">
      <c r="A14" s="93" t="s">
        <v>38</v>
      </c>
      <c r="B14" s="93"/>
      <c r="C14" s="93"/>
      <c r="D14" s="93"/>
      <c r="E14" s="94"/>
      <c r="F14" s="95" t="s">
        <v>39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1"/>
    </row>
    <row r="15" spans="1:19" ht="12.75">
      <c r="A15" s="98" t="s">
        <v>40</v>
      </c>
      <c r="B15" s="98"/>
      <c r="C15" s="98"/>
      <c r="D15" s="99"/>
      <c r="E15" s="23">
        <v>94661.92</v>
      </c>
      <c r="F15" s="24"/>
      <c r="G15" s="25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7"/>
    </row>
    <row r="16" spans="1:20" ht="12.75">
      <c r="A16" s="28" t="s">
        <v>41</v>
      </c>
      <c r="B16" s="29">
        <f>3698.3+16109.78</f>
        <v>19808.08</v>
      </c>
      <c r="C16" s="29">
        <f>2386+10397.07</f>
        <v>12783.07</v>
      </c>
      <c r="D16" s="29">
        <v>0</v>
      </c>
      <c r="E16" s="2">
        <f aca="true" t="shared" si="0" ref="E16:E27">B16+C16+D16</f>
        <v>32591.15</v>
      </c>
      <c r="F16" s="30">
        <f aca="true" t="shared" si="1" ref="F16:F27">3630.4*1</f>
        <v>3630.4</v>
      </c>
      <c r="G16" s="30">
        <f aca="true" t="shared" si="2" ref="G16:G27">3630.4*1.57</f>
        <v>5699.728</v>
      </c>
      <c r="H16" s="31">
        <f aca="true" t="shared" si="3" ref="H16:H27">3630.4*1.6</f>
        <v>5808.64</v>
      </c>
      <c r="I16" s="30">
        <v>2400</v>
      </c>
      <c r="J16" s="30">
        <f aca="true" t="shared" si="4" ref="J16:J27">3630.4*0.35</f>
        <v>1270.6399999999999</v>
      </c>
      <c r="K16" s="30">
        <v>0</v>
      </c>
      <c r="L16" s="30">
        <v>0</v>
      </c>
      <c r="M16" s="30">
        <f aca="true" t="shared" si="5" ref="M16:M27">3630.4*1.5</f>
        <v>5445.6</v>
      </c>
      <c r="N16" s="30">
        <v>1959</v>
      </c>
      <c r="O16" s="47">
        <f aca="true" t="shared" si="6" ref="O16:O27">SUM(F16:N16)</f>
        <v>26214.008</v>
      </c>
      <c r="P16" s="32">
        <v>16607</v>
      </c>
      <c r="Q16" s="32">
        <v>0</v>
      </c>
      <c r="R16" s="30">
        <f aca="true" t="shared" si="7" ref="R16:R27">3630.4*1.5</f>
        <v>5445.6</v>
      </c>
      <c r="S16" s="33">
        <f aca="true" t="shared" si="8" ref="S16:S27">O16+P16+Q16+R16</f>
        <v>48266.608</v>
      </c>
      <c r="T16" s="5"/>
    </row>
    <row r="17" spans="1:20" ht="12.75">
      <c r="A17" s="28" t="s">
        <v>42</v>
      </c>
      <c r="B17" s="29">
        <f>3080.16+15891.81+605.12</f>
        <v>19577.09</v>
      </c>
      <c r="C17" s="29">
        <f>1987.2+10454.1+389.92</f>
        <v>12831.220000000001</v>
      </c>
      <c r="D17" s="29">
        <v>0</v>
      </c>
      <c r="E17" s="29">
        <f t="shared" si="0"/>
        <v>32408.31</v>
      </c>
      <c r="F17" s="30">
        <f t="shared" si="1"/>
        <v>3630.4</v>
      </c>
      <c r="G17" s="30">
        <f t="shared" si="2"/>
        <v>5699.728</v>
      </c>
      <c r="H17" s="31">
        <f t="shared" si="3"/>
        <v>5808.64</v>
      </c>
      <c r="I17" s="30">
        <v>2400</v>
      </c>
      <c r="J17" s="30">
        <f t="shared" si="4"/>
        <v>1270.6399999999999</v>
      </c>
      <c r="K17" s="30">
        <v>0</v>
      </c>
      <c r="L17" s="30">
        <v>0</v>
      </c>
      <c r="M17" s="30">
        <f t="shared" si="5"/>
        <v>5445.6</v>
      </c>
      <c r="N17" s="30">
        <v>0</v>
      </c>
      <c r="O17" s="47">
        <f t="shared" si="6"/>
        <v>24255.008</v>
      </c>
      <c r="P17" s="32">
        <v>0</v>
      </c>
      <c r="Q17" s="32">
        <v>0</v>
      </c>
      <c r="R17" s="30">
        <f t="shared" si="7"/>
        <v>5445.6</v>
      </c>
      <c r="S17" s="33">
        <f t="shared" si="8"/>
        <v>29700.608</v>
      </c>
      <c r="T17" s="5"/>
    </row>
    <row r="18" spans="1:20" ht="12.75">
      <c r="A18" s="28" t="s">
        <v>7</v>
      </c>
      <c r="B18" s="29">
        <f>3848.34+16535.2</f>
        <v>20383.54</v>
      </c>
      <c r="C18" s="29">
        <f>2482.8+10540.12</f>
        <v>13022.920000000002</v>
      </c>
      <c r="D18" s="29">
        <v>0</v>
      </c>
      <c r="E18" s="29">
        <f t="shared" si="0"/>
        <v>33406.46000000001</v>
      </c>
      <c r="F18" s="30">
        <f t="shared" si="1"/>
        <v>3630.4</v>
      </c>
      <c r="G18" s="30">
        <f t="shared" si="2"/>
        <v>5699.728</v>
      </c>
      <c r="H18" s="31">
        <f t="shared" si="3"/>
        <v>5808.64</v>
      </c>
      <c r="I18" s="30">
        <v>2400</v>
      </c>
      <c r="J18" s="30">
        <f t="shared" si="4"/>
        <v>1270.6399999999999</v>
      </c>
      <c r="K18" s="30">
        <v>0</v>
      </c>
      <c r="L18" s="30">
        <v>0</v>
      </c>
      <c r="M18" s="30">
        <f t="shared" si="5"/>
        <v>5445.6</v>
      </c>
      <c r="N18" s="30">
        <v>0</v>
      </c>
      <c r="O18" s="47">
        <f t="shared" si="6"/>
        <v>24255.008</v>
      </c>
      <c r="P18" s="32">
        <v>8588</v>
      </c>
      <c r="Q18" s="32">
        <v>0</v>
      </c>
      <c r="R18" s="30">
        <f t="shared" si="7"/>
        <v>5445.6</v>
      </c>
      <c r="S18" s="33">
        <f t="shared" si="8"/>
        <v>38288.608</v>
      </c>
      <c r="T18" s="5"/>
    </row>
    <row r="19" spans="1:19" ht="12.75">
      <c r="A19" s="28" t="s">
        <v>43</v>
      </c>
      <c r="B19" s="29">
        <f>4650.4+21505.69+383.78+298.16</f>
        <v>26838.029999999995</v>
      </c>
      <c r="C19" s="29">
        <f>2944+14400.31+247.6</f>
        <v>17591.909999999996</v>
      </c>
      <c r="D19" s="29">
        <v>0</v>
      </c>
      <c r="E19" s="29">
        <f t="shared" si="0"/>
        <v>44429.93999999999</v>
      </c>
      <c r="F19" s="30">
        <f t="shared" si="1"/>
        <v>3630.4</v>
      </c>
      <c r="G19" s="30">
        <f t="shared" si="2"/>
        <v>5699.728</v>
      </c>
      <c r="H19" s="31">
        <f t="shared" si="3"/>
        <v>5808.64</v>
      </c>
      <c r="I19" s="30">
        <v>1200</v>
      </c>
      <c r="J19" s="30">
        <f t="shared" si="4"/>
        <v>1270.6399999999999</v>
      </c>
      <c r="K19" s="30"/>
      <c r="L19" s="30"/>
      <c r="M19" s="30">
        <f t="shared" si="5"/>
        <v>5445.6</v>
      </c>
      <c r="N19" s="30">
        <v>0</v>
      </c>
      <c r="O19" s="47">
        <f t="shared" si="6"/>
        <v>23055.008</v>
      </c>
      <c r="P19" s="32">
        <v>0</v>
      </c>
      <c r="Q19" s="32">
        <v>0</v>
      </c>
      <c r="R19" s="30">
        <f t="shared" si="7"/>
        <v>5445.6</v>
      </c>
      <c r="S19" s="33">
        <f t="shared" si="8"/>
        <v>28500.608</v>
      </c>
    </row>
    <row r="20" spans="1:20" ht="12.75">
      <c r="A20" s="28" t="s">
        <v>8</v>
      </c>
      <c r="B20" s="29">
        <f>4574.36+16370.22</f>
        <v>20944.579999999998</v>
      </c>
      <c r="C20" s="29">
        <f>2697.2+10914.8</f>
        <v>13612</v>
      </c>
      <c r="D20" s="29">
        <v>0</v>
      </c>
      <c r="E20" s="29">
        <f t="shared" si="0"/>
        <v>34556.58</v>
      </c>
      <c r="F20" s="30">
        <f t="shared" si="1"/>
        <v>3630.4</v>
      </c>
      <c r="G20" s="30">
        <f t="shared" si="2"/>
        <v>5699.728</v>
      </c>
      <c r="H20" s="31">
        <f t="shared" si="3"/>
        <v>5808.64</v>
      </c>
      <c r="I20" s="30">
        <v>1000</v>
      </c>
      <c r="J20" s="30">
        <f t="shared" si="4"/>
        <v>1270.6399999999999</v>
      </c>
      <c r="K20" s="30"/>
      <c r="L20" s="30"/>
      <c r="M20" s="30">
        <f t="shared" si="5"/>
        <v>5445.6</v>
      </c>
      <c r="N20" s="30">
        <v>2108</v>
      </c>
      <c r="O20" s="47">
        <f t="shared" si="6"/>
        <v>24963.008</v>
      </c>
      <c r="P20" s="32">
        <v>1277</v>
      </c>
      <c r="Q20" s="32">
        <v>0</v>
      </c>
      <c r="R20" s="30">
        <f t="shared" si="7"/>
        <v>5445.6</v>
      </c>
      <c r="S20" s="33">
        <f t="shared" si="8"/>
        <v>31685.608</v>
      </c>
      <c r="T20" s="5"/>
    </row>
    <row r="21" spans="1:19" ht="12.75">
      <c r="A21" s="28" t="s">
        <v>9</v>
      </c>
      <c r="B21" s="29">
        <f>3840.28+17459.08+2000+1569.94</f>
        <v>24869.3</v>
      </c>
      <c r="C21" s="29">
        <f>3398.96+11109.6</f>
        <v>14508.560000000001</v>
      </c>
      <c r="D21" s="29">
        <v>0</v>
      </c>
      <c r="E21" s="29">
        <f t="shared" si="0"/>
        <v>39377.86</v>
      </c>
      <c r="F21" s="30">
        <f t="shared" si="1"/>
        <v>3630.4</v>
      </c>
      <c r="G21" s="30">
        <f t="shared" si="2"/>
        <v>5699.728</v>
      </c>
      <c r="H21" s="31">
        <f t="shared" si="3"/>
        <v>5808.64</v>
      </c>
      <c r="I21" s="30">
        <v>1000</v>
      </c>
      <c r="J21" s="30">
        <f t="shared" si="4"/>
        <v>1270.6399999999999</v>
      </c>
      <c r="K21" s="30"/>
      <c r="L21" s="30"/>
      <c r="M21" s="30">
        <f t="shared" si="5"/>
        <v>5445.6</v>
      </c>
      <c r="N21" s="30">
        <v>0</v>
      </c>
      <c r="O21" s="47">
        <f t="shared" si="6"/>
        <v>22855.008</v>
      </c>
      <c r="P21" s="32">
        <f>1643+3399</f>
        <v>5042</v>
      </c>
      <c r="Q21" s="32">
        <v>0</v>
      </c>
      <c r="R21" s="30">
        <f t="shared" si="7"/>
        <v>5445.6</v>
      </c>
      <c r="S21" s="33">
        <f t="shared" si="8"/>
        <v>33342.608</v>
      </c>
    </row>
    <row r="22" spans="1:19" ht="12.75">
      <c r="A22" s="28" t="s">
        <v>10</v>
      </c>
      <c r="B22" s="29">
        <f>4701.84+15040.58+600</f>
        <v>20342.42</v>
      </c>
      <c r="C22" s="29">
        <f>3442.4+9703.6+1546.8</f>
        <v>14692.8</v>
      </c>
      <c r="D22" s="29">
        <v>0</v>
      </c>
      <c r="E22" s="29">
        <f t="shared" si="0"/>
        <v>35035.22</v>
      </c>
      <c r="F22" s="30">
        <f t="shared" si="1"/>
        <v>3630.4</v>
      </c>
      <c r="G22" s="30">
        <f t="shared" si="2"/>
        <v>5699.728</v>
      </c>
      <c r="H22" s="31">
        <f t="shared" si="3"/>
        <v>5808.64</v>
      </c>
      <c r="I22" s="30">
        <v>1000</v>
      </c>
      <c r="J22" s="30">
        <f t="shared" si="4"/>
        <v>1270.6399999999999</v>
      </c>
      <c r="K22" s="30"/>
      <c r="L22" s="30"/>
      <c r="M22" s="30">
        <f t="shared" si="5"/>
        <v>5445.6</v>
      </c>
      <c r="N22" s="30">
        <v>0</v>
      </c>
      <c r="O22" s="47">
        <f t="shared" si="6"/>
        <v>22855.008</v>
      </c>
      <c r="P22" s="32">
        <v>0</v>
      </c>
      <c r="Q22" s="32">
        <v>0</v>
      </c>
      <c r="R22" s="30">
        <f t="shared" si="7"/>
        <v>5445.6</v>
      </c>
      <c r="S22" s="33">
        <f t="shared" si="8"/>
        <v>28300.608</v>
      </c>
    </row>
    <row r="23" spans="1:19" ht="12.75">
      <c r="A23" s="28" t="s">
        <v>11</v>
      </c>
      <c r="B23" s="29">
        <f>8790.4+24341.7</f>
        <v>33132.1</v>
      </c>
      <c r="C23" s="29">
        <f>2134.6+5554.2</f>
        <v>7688.799999999999</v>
      </c>
      <c r="D23" s="29">
        <v>0</v>
      </c>
      <c r="E23" s="29">
        <f t="shared" si="0"/>
        <v>40820.899999999994</v>
      </c>
      <c r="F23" s="30">
        <f t="shared" si="1"/>
        <v>3630.4</v>
      </c>
      <c r="G23" s="30">
        <f t="shared" si="2"/>
        <v>5699.728</v>
      </c>
      <c r="H23" s="31">
        <f t="shared" si="3"/>
        <v>5808.64</v>
      </c>
      <c r="I23" s="30">
        <v>1000</v>
      </c>
      <c r="J23" s="30">
        <f t="shared" si="4"/>
        <v>1270.6399999999999</v>
      </c>
      <c r="K23" s="30"/>
      <c r="L23" s="30"/>
      <c r="M23" s="30">
        <f t="shared" si="5"/>
        <v>5445.6</v>
      </c>
      <c r="N23" s="30">
        <f>2108+500+500+540</f>
        <v>3648</v>
      </c>
      <c r="O23" s="47">
        <f t="shared" si="6"/>
        <v>26503.008</v>
      </c>
      <c r="P23" s="32">
        <f>18862+2136+10146</f>
        <v>31144</v>
      </c>
      <c r="Q23" s="32">
        <v>0</v>
      </c>
      <c r="R23" s="30">
        <f t="shared" si="7"/>
        <v>5445.6</v>
      </c>
      <c r="S23" s="33">
        <f t="shared" si="8"/>
        <v>63092.608</v>
      </c>
    </row>
    <row r="24" spans="1:19" ht="12.75">
      <c r="A24" s="28" t="s">
        <v>44</v>
      </c>
      <c r="B24" s="29">
        <f>8328.88+24676.94</f>
        <v>33005.82</v>
      </c>
      <c r="C24" s="29">
        <f>1539.91+5497.6</f>
        <v>7037.51</v>
      </c>
      <c r="D24" s="29">
        <v>0</v>
      </c>
      <c r="E24" s="29">
        <f t="shared" si="0"/>
        <v>40043.33</v>
      </c>
      <c r="F24" s="30">
        <f t="shared" si="1"/>
        <v>3630.4</v>
      </c>
      <c r="G24" s="30">
        <f t="shared" si="2"/>
        <v>5699.728</v>
      </c>
      <c r="H24" s="31">
        <f t="shared" si="3"/>
        <v>5808.64</v>
      </c>
      <c r="I24" s="30">
        <v>1000</v>
      </c>
      <c r="J24" s="30">
        <f t="shared" si="4"/>
        <v>1270.6399999999999</v>
      </c>
      <c r="K24" s="30"/>
      <c r="L24" s="30"/>
      <c r="M24" s="30">
        <f t="shared" si="5"/>
        <v>5445.6</v>
      </c>
      <c r="N24" s="30">
        <v>0</v>
      </c>
      <c r="O24" s="47">
        <f t="shared" si="6"/>
        <v>22855.008</v>
      </c>
      <c r="P24" s="32">
        <v>0</v>
      </c>
      <c r="Q24" s="32">
        <v>0</v>
      </c>
      <c r="R24" s="30">
        <f t="shared" si="7"/>
        <v>5445.6</v>
      </c>
      <c r="S24" s="33">
        <f t="shared" si="8"/>
        <v>28300.608</v>
      </c>
    </row>
    <row r="25" spans="1:19" ht="12.75">
      <c r="A25" s="28" t="s">
        <v>45</v>
      </c>
      <c r="B25" s="29">
        <f>5422+26838.69+2597.4</f>
        <v>34858.09</v>
      </c>
      <c r="C25" s="29">
        <f>1083.49+5790.4</f>
        <v>6873.889999999999</v>
      </c>
      <c r="D25" s="29">
        <v>0</v>
      </c>
      <c r="E25" s="29">
        <f t="shared" si="0"/>
        <v>41731.979999999996</v>
      </c>
      <c r="F25" s="30">
        <f t="shared" si="1"/>
        <v>3630.4</v>
      </c>
      <c r="G25" s="30">
        <f t="shared" si="2"/>
        <v>5699.728</v>
      </c>
      <c r="H25" s="31">
        <f t="shared" si="3"/>
        <v>5808.64</v>
      </c>
      <c r="I25" s="30">
        <v>1900</v>
      </c>
      <c r="J25" s="30">
        <f t="shared" si="4"/>
        <v>1270.6399999999999</v>
      </c>
      <c r="K25" s="30"/>
      <c r="L25" s="30"/>
      <c r="M25" s="30">
        <f t="shared" si="5"/>
        <v>5445.6</v>
      </c>
      <c r="N25" s="30">
        <f>2710+1551.38</f>
        <v>4261.38</v>
      </c>
      <c r="O25" s="47">
        <f t="shared" si="6"/>
        <v>28016.388000000003</v>
      </c>
      <c r="P25" s="32">
        <v>425</v>
      </c>
      <c r="Q25" s="32">
        <v>0</v>
      </c>
      <c r="R25" s="30">
        <f t="shared" si="7"/>
        <v>5445.6</v>
      </c>
      <c r="S25" s="33">
        <f t="shared" si="8"/>
        <v>33886.988000000005</v>
      </c>
    </row>
    <row r="26" spans="1:19" ht="12.75">
      <c r="A26" s="28" t="s">
        <v>46</v>
      </c>
      <c r="B26" s="29">
        <f>6172.09+28002.19+3616.08</f>
        <v>37790.36</v>
      </c>
      <c r="C26" s="29">
        <f>1341.53+5460.4+1000</f>
        <v>7801.929999999999</v>
      </c>
      <c r="D26" s="29">
        <v>0</v>
      </c>
      <c r="E26" s="29">
        <f t="shared" si="0"/>
        <v>45592.29</v>
      </c>
      <c r="F26" s="30">
        <f t="shared" si="1"/>
        <v>3630.4</v>
      </c>
      <c r="G26" s="30">
        <f t="shared" si="2"/>
        <v>5699.728</v>
      </c>
      <c r="H26" s="31">
        <f t="shared" si="3"/>
        <v>5808.64</v>
      </c>
      <c r="I26" s="30">
        <v>2400</v>
      </c>
      <c r="J26" s="30">
        <f t="shared" si="4"/>
        <v>1270.6399999999999</v>
      </c>
      <c r="K26" s="30"/>
      <c r="L26" s="30"/>
      <c r="M26" s="30">
        <f t="shared" si="5"/>
        <v>5445.6</v>
      </c>
      <c r="N26" s="30">
        <v>0</v>
      </c>
      <c r="O26" s="47">
        <f t="shared" si="6"/>
        <v>24255.008</v>
      </c>
      <c r="P26" s="32">
        <f>9322+845+95172</f>
        <v>105339</v>
      </c>
      <c r="Q26" s="32">
        <v>0</v>
      </c>
      <c r="R26" s="30">
        <f t="shared" si="7"/>
        <v>5445.6</v>
      </c>
      <c r="S26" s="33">
        <f t="shared" si="8"/>
        <v>135039.608</v>
      </c>
    </row>
    <row r="27" spans="1:19" ht="12.75">
      <c r="A27" s="28" t="s">
        <v>47</v>
      </c>
      <c r="B27" s="29">
        <f>7708+26619.91+2446.36</f>
        <v>36774.270000000004</v>
      </c>
      <c r="C27" s="29">
        <f>1609.28+5297.8</f>
        <v>6907.08</v>
      </c>
      <c r="D27" s="29">
        <v>0</v>
      </c>
      <c r="E27" s="29">
        <f t="shared" si="0"/>
        <v>43681.350000000006</v>
      </c>
      <c r="F27" s="30">
        <f t="shared" si="1"/>
        <v>3630.4</v>
      </c>
      <c r="G27" s="30">
        <f t="shared" si="2"/>
        <v>5699.728</v>
      </c>
      <c r="H27" s="31">
        <f t="shared" si="3"/>
        <v>5808.64</v>
      </c>
      <c r="I27" s="30">
        <v>2400</v>
      </c>
      <c r="J27" s="30">
        <f t="shared" si="4"/>
        <v>1270.6399999999999</v>
      </c>
      <c r="K27" s="30"/>
      <c r="L27" s="30"/>
      <c r="M27" s="30">
        <f t="shared" si="5"/>
        <v>5445.6</v>
      </c>
      <c r="N27" s="30">
        <f>2664+14000</f>
        <v>16664</v>
      </c>
      <c r="O27" s="47">
        <f t="shared" si="6"/>
        <v>40919.008</v>
      </c>
      <c r="P27" s="32">
        <v>22352</v>
      </c>
      <c r="Q27" s="32">
        <v>0</v>
      </c>
      <c r="R27" s="30">
        <f t="shared" si="7"/>
        <v>5445.6</v>
      </c>
      <c r="S27" s="33">
        <f t="shared" si="8"/>
        <v>68716.60800000001</v>
      </c>
    </row>
    <row r="28" spans="1:19" ht="36">
      <c r="A28" s="34" t="s">
        <v>48</v>
      </c>
      <c r="B28" s="29">
        <f>1800+1800+2700+2700</f>
        <v>9000</v>
      </c>
      <c r="C28" s="29">
        <v>0</v>
      </c>
      <c r="D28" s="29">
        <v>0</v>
      </c>
      <c r="E28" s="29">
        <f>B28+C28+D28</f>
        <v>9000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47">
        <v>0</v>
      </c>
      <c r="P28" s="32">
        <v>0</v>
      </c>
      <c r="Q28" s="32">
        <v>0</v>
      </c>
      <c r="R28" s="30">
        <v>0</v>
      </c>
      <c r="S28" s="33">
        <v>0</v>
      </c>
    </row>
    <row r="29" spans="1:19" ht="12.75">
      <c r="A29" s="48" t="s">
        <v>2</v>
      </c>
      <c r="B29" s="35">
        <f>SUM(B16:B28)</f>
        <v>337323.68</v>
      </c>
      <c r="C29" s="35">
        <f>SUM(C16:C28)</f>
        <v>135351.68999999997</v>
      </c>
      <c r="D29" s="35">
        <f>SUM(D16:D28)</f>
        <v>0</v>
      </c>
      <c r="E29" s="35">
        <f>SUM(E15:E28)</f>
        <v>567337.29</v>
      </c>
      <c r="F29" s="35">
        <f>SUM(F16:F28)</f>
        <v>43564.80000000001</v>
      </c>
      <c r="G29" s="35">
        <f>SUM(G16:G28)</f>
        <v>68396.73600000002</v>
      </c>
      <c r="H29" s="35">
        <f>SUM(H16:H28)</f>
        <v>69703.68000000001</v>
      </c>
      <c r="I29" s="35">
        <f>SUM(I16:I28)</f>
        <v>20100</v>
      </c>
      <c r="J29" s="35">
        <f>SUM(J16:J28)</f>
        <v>15247.679999999995</v>
      </c>
      <c r="K29" s="35"/>
      <c r="L29" s="35"/>
      <c r="M29" s="35">
        <f aca="true" t="shared" si="9" ref="M29:S29">SUM(M16:M28)</f>
        <v>65347.19999999999</v>
      </c>
      <c r="N29" s="35">
        <f>SUM(N16:N28)</f>
        <v>28640.38</v>
      </c>
      <c r="O29" s="35">
        <f t="shared" si="9"/>
        <v>311000.476</v>
      </c>
      <c r="P29" s="35">
        <f t="shared" si="9"/>
        <v>190774</v>
      </c>
      <c r="Q29" s="35">
        <f t="shared" si="9"/>
        <v>0</v>
      </c>
      <c r="R29" s="35">
        <f t="shared" si="9"/>
        <v>65347.19999999999</v>
      </c>
      <c r="S29" s="36">
        <f t="shared" si="9"/>
        <v>567121.676</v>
      </c>
    </row>
    <row r="30" spans="1:19" ht="12.75">
      <c r="A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 t="s">
        <v>13</v>
      </c>
      <c r="R30" s="64">
        <f>E29-S29</f>
        <v>215.6140000000596</v>
      </c>
      <c r="S30" s="64"/>
    </row>
    <row r="31" spans="1:19" ht="12.75">
      <c r="A31" s="44"/>
      <c r="G31" s="45"/>
      <c r="H31" s="5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</row>
    <row r="32" spans="1:19" ht="12.75">
      <c r="A32" s="44"/>
      <c r="B32" s="45" t="s">
        <v>5</v>
      </c>
      <c r="C32" s="56">
        <v>1959</v>
      </c>
      <c r="D32" s="45" t="s">
        <v>68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</row>
    <row r="33" spans="1:19" ht="12.75">
      <c r="A33" s="44"/>
      <c r="B33" s="45" t="s">
        <v>8</v>
      </c>
      <c r="C33" s="56">
        <v>2108</v>
      </c>
      <c r="D33" s="45" t="s">
        <v>69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74"/>
      <c r="R33" s="74"/>
      <c r="S33" s="46"/>
    </row>
    <row r="34" spans="1:19" ht="12.75">
      <c r="A34" s="44"/>
      <c r="B34" s="45" t="s">
        <v>11</v>
      </c>
      <c r="C34" s="56">
        <v>2108</v>
      </c>
      <c r="D34" s="45" t="s">
        <v>69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</row>
    <row r="35" spans="1:19" ht="12.75">
      <c r="A35" s="44"/>
      <c r="B35" s="45"/>
      <c r="C35" s="56">
        <v>500</v>
      </c>
      <c r="D35" s="45" t="s">
        <v>70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</row>
    <row r="36" spans="1:19" ht="12.75">
      <c r="A36" s="44"/>
      <c r="B36" s="45"/>
      <c r="C36" s="56">
        <v>500</v>
      </c>
      <c r="D36" s="45" t="s">
        <v>71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</row>
    <row r="37" spans="1:19" ht="12.75">
      <c r="A37" s="44"/>
      <c r="B37" s="45"/>
      <c r="C37" s="56">
        <v>540</v>
      </c>
      <c r="D37" s="45" t="s">
        <v>72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</row>
    <row r="38" spans="1:19" ht="12.75">
      <c r="A38" s="44"/>
      <c r="B38" s="45" t="s">
        <v>12</v>
      </c>
      <c r="C38" s="56">
        <v>1551.38</v>
      </c>
      <c r="D38" s="45" t="s">
        <v>76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</row>
    <row r="39" spans="1:19" ht="12.75">
      <c r="A39" s="44"/>
      <c r="B39" s="45"/>
      <c r="C39" s="56">
        <v>2710</v>
      </c>
      <c r="D39" s="45" t="s">
        <v>75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</row>
    <row r="40" spans="1:19" ht="12.75">
      <c r="A40" s="44"/>
      <c r="B40" s="45" t="s">
        <v>4</v>
      </c>
      <c r="C40" s="56">
        <v>2664</v>
      </c>
      <c r="D40" s="45" t="s">
        <v>73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6"/>
    </row>
    <row r="41" spans="1:19" ht="12.75">
      <c r="A41" s="44"/>
      <c r="B41" s="45"/>
      <c r="C41" s="56">
        <v>14000</v>
      </c>
      <c r="D41" s="45" t="s">
        <v>77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6"/>
    </row>
    <row r="42" ht="12.75">
      <c r="C42" s="57"/>
    </row>
    <row r="43" spans="1:19" ht="15">
      <c r="A43" s="100" t="s">
        <v>49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ht="12.75">
      <c r="A44" s="101" t="s">
        <v>50</v>
      </c>
      <c r="B44" s="101"/>
      <c r="C44" s="102" t="s">
        <v>3</v>
      </c>
      <c r="D44" s="102"/>
      <c r="E44" s="102"/>
      <c r="F44" s="102"/>
      <c r="G44" s="102"/>
      <c r="H44" s="102"/>
      <c r="I44" s="102"/>
      <c r="J44" s="102"/>
      <c r="K44" s="102"/>
      <c r="L44" s="103" t="s">
        <v>51</v>
      </c>
      <c r="M44" s="104"/>
      <c r="N44" s="105"/>
      <c r="O44" s="101" t="s">
        <v>52</v>
      </c>
      <c r="P44" s="72"/>
      <c r="Q44" s="101" t="s">
        <v>53</v>
      </c>
      <c r="R44" s="101"/>
      <c r="S44" s="72" t="s">
        <v>54</v>
      </c>
    </row>
    <row r="45" spans="1:19" ht="12.75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6"/>
      <c r="M45" s="107"/>
      <c r="N45" s="108"/>
      <c r="O45" s="101"/>
      <c r="P45" s="73"/>
      <c r="Q45" s="101"/>
      <c r="R45" s="101"/>
      <c r="S45" s="73"/>
    </row>
    <row r="46" spans="1:19" ht="12.75">
      <c r="A46" s="85"/>
      <c r="B46" s="86"/>
      <c r="C46" s="87" t="s">
        <v>55</v>
      </c>
      <c r="D46" s="88"/>
      <c r="E46" s="88"/>
      <c r="F46" s="88"/>
      <c r="G46" s="88"/>
      <c r="H46" s="88"/>
      <c r="I46" s="88"/>
      <c r="J46" s="88"/>
      <c r="K46" s="89"/>
      <c r="L46" s="90"/>
      <c r="M46" s="91"/>
      <c r="N46" s="92"/>
      <c r="O46" s="6"/>
      <c r="P46" s="6"/>
      <c r="Q46" s="63"/>
      <c r="R46" s="63"/>
      <c r="S46" s="6"/>
    </row>
    <row r="47" spans="1:19" ht="12.75">
      <c r="A47" s="85"/>
      <c r="B47" s="86"/>
      <c r="C47" s="87" t="s">
        <v>56</v>
      </c>
      <c r="D47" s="88"/>
      <c r="E47" s="88"/>
      <c r="F47" s="88"/>
      <c r="G47" s="88"/>
      <c r="H47" s="88"/>
      <c r="I47" s="88"/>
      <c r="J47" s="88"/>
      <c r="K47" s="89"/>
      <c r="L47" s="66" t="s">
        <v>57</v>
      </c>
      <c r="M47" s="67"/>
      <c r="N47" s="68"/>
      <c r="O47" s="37">
        <v>0.05</v>
      </c>
      <c r="P47" s="38"/>
      <c r="Q47" s="61">
        <f>SUM(O47*2487*12)</f>
        <v>1492.2</v>
      </c>
      <c r="R47" s="61"/>
      <c r="S47" s="37"/>
    </row>
    <row r="48" spans="1:19" ht="12.75">
      <c r="A48" s="85"/>
      <c r="B48" s="86"/>
      <c r="C48" s="87" t="s">
        <v>58</v>
      </c>
      <c r="D48" s="88"/>
      <c r="E48" s="88"/>
      <c r="F48" s="88"/>
      <c r="G48" s="88"/>
      <c r="H48" s="88"/>
      <c r="I48" s="88"/>
      <c r="J48" s="88"/>
      <c r="K48" s="89"/>
      <c r="L48" s="66" t="s">
        <v>57</v>
      </c>
      <c r="M48" s="67"/>
      <c r="N48" s="68"/>
      <c r="O48" s="37">
        <v>0.05</v>
      </c>
      <c r="P48" s="38"/>
      <c r="Q48" s="61">
        <f aca="true" t="shared" si="10" ref="Q48:Q54">SUM(O48*2487*12)</f>
        <v>1492.2</v>
      </c>
      <c r="R48" s="61"/>
      <c r="S48" s="37"/>
    </row>
    <row r="49" spans="1:19" ht="12.75">
      <c r="A49" s="85"/>
      <c r="B49" s="86"/>
      <c r="C49" s="87" t="s">
        <v>59</v>
      </c>
      <c r="D49" s="88"/>
      <c r="E49" s="88"/>
      <c r="F49" s="88"/>
      <c r="G49" s="88"/>
      <c r="H49" s="88"/>
      <c r="I49" s="88"/>
      <c r="J49" s="88"/>
      <c r="K49" s="89"/>
      <c r="L49" s="66" t="s">
        <v>60</v>
      </c>
      <c r="M49" s="67"/>
      <c r="N49" s="68"/>
      <c r="O49" s="37">
        <v>0.15</v>
      </c>
      <c r="P49" s="38"/>
      <c r="Q49" s="61">
        <f t="shared" si="10"/>
        <v>4476.6</v>
      </c>
      <c r="R49" s="61"/>
      <c r="S49" s="37"/>
    </row>
    <row r="50" spans="1:19" ht="12.75">
      <c r="A50" s="75"/>
      <c r="B50" s="60"/>
      <c r="C50" s="82" t="s">
        <v>61</v>
      </c>
      <c r="D50" s="83"/>
      <c r="E50" s="83"/>
      <c r="F50" s="83"/>
      <c r="G50" s="83"/>
      <c r="H50" s="83"/>
      <c r="I50" s="83"/>
      <c r="J50" s="83"/>
      <c r="K50" s="84"/>
      <c r="L50" s="66" t="s">
        <v>57</v>
      </c>
      <c r="M50" s="67"/>
      <c r="N50" s="68"/>
      <c r="O50" s="4">
        <v>0.15</v>
      </c>
      <c r="P50" s="4"/>
      <c r="Q50" s="61">
        <f t="shared" si="10"/>
        <v>4476.6</v>
      </c>
      <c r="R50" s="61"/>
      <c r="S50" s="4"/>
    </row>
    <row r="51" spans="1:19" ht="12.75">
      <c r="A51" s="61"/>
      <c r="B51" s="61"/>
      <c r="C51" s="76" t="s">
        <v>62</v>
      </c>
      <c r="D51" s="77"/>
      <c r="E51" s="77"/>
      <c r="F51" s="77"/>
      <c r="G51" s="77"/>
      <c r="H51" s="77"/>
      <c r="I51" s="77"/>
      <c r="J51" s="77"/>
      <c r="K51" s="78"/>
      <c r="L51" s="79" t="s">
        <v>63</v>
      </c>
      <c r="M51" s="80"/>
      <c r="N51" s="81"/>
      <c r="O51" s="4">
        <v>0.25</v>
      </c>
      <c r="P51" s="4"/>
      <c r="Q51" s="61">
        <f t="shared" si="10"/>
        <v>7461</v>
      </c>
      <c r="R51" s="61"/>
      <c r="S51" s="4"/>
    </row>
    <row r="52" spans="1:19" ht="12.75">
      <c r="A52" s="75"/>
      <c r="B52" s="60"/>
      <c r="C52" s="76" t="s">
        <v>64</v>
      </c>
      <c r="D52" s="77"/>
      <c r="E52" s="77"/>
      <c r="F52" s="77"/>
      <c r="G52" s="77"/>
      <c r="H52" s="77"/>
      <c r="I52" s="77"/>
      <c r="J52" s="77"/>
      <c r="K52" s="78"/>
      <c r="L52" s="79" t="s">
        <v>63</v>
      </c>
      <c r="M52" s="80"/>
      <c r="N52" s="81"/>
      <c r="O52" s="4">
        <v>0.1</v>
      </c>
      <c r="P52" s="39"/>
      <c r="Q52" s="61">
        <f t="shared" si="10"/>
        <v>2984.4</v>
      </c>
      <c r="R52" s="61"/>
      <c r="S52" s="4"/>
    </row>
    <row r="53" spans="1:19" ht="12.75">
      <c r="A53" s="61"/>
      <c r="B53" s="61"/>
      <c r="C53" s="82" t="s">
        <v>65</v>
      </c>
      <c r="D53" s="83"/>
      <c r="E53" s="83"/>
      <c r="F53" s="83"/>
      <c r="G53" s="83"/>
      <c r="H53" s="83"/>
      <c r="I53" s="83"/>
      <c r="J53" s="83"/>
      <c r="K53" s="84"/>
      <c r="L53" s="79" t="s">
        <v>63</v>
      </c>
      <c r="M53" s="80"/>
      <c r="N53" s="81"/>
      <c r="O53" s="4">
        <v>0.25</v>
      </c>
      <c r="P53" s="4"/>
      <c r="Q53" s="61">
        <f t="shared" si="10"/>
        <v>7461</v>
      </c>
      <c r="R53" s="61"/>
      <c r="S53" s="4"/>
    </row>
    <row r="54" spans="1:19" ht="12.75">
      <c r="A54" s="40"/>
      <c r="B54" s="8"/>
      <c r="C54" s="65" t="s">
        <v>66</v>
      </c>
      <c r="D54" s="65"/>
      <c r="E54" s="65"/>
      <c r="F54" s="65"/>
      <c r="G54" s="65"/>
      <c r="H54" s="65"/>
      <c r="I54" s="65"/>
      <c r="J54" s="65"/>
      <c r="K54" s="65"/>
      <c r="L54" s="66" t="s">
        <v>57</v>
      </c>
      <c r="M54" s="67"/>
      <c r="N54" s="68"/>
      <c r="O54" s="3">
        <v>1</v>
      </c>
      <c r="P54" s="41"/>
      <c r="Q54" s="61">
        <f t="shared" si="10"/>
        <v>29844</v>
      </c>
      <c r="R54" s="61"/>
      <c r="S54" s="4"/>
    </row>
    <row r="55" spans="5:19" ht="12.75">
      <c r="E55" s="69" t="s">
        <v>14</v>
      </c>
      <c r="F55" s="70"/>
      <c r="G55" s="70"/>
      <c r="H55" s="70"/>
      <c r="I55" s="70"/>
      <c r="J55" s="70"/>
      <c r="K55" s="70"/>
      <c r="L55" s="70"/>
      <c r="M55" s="70"/>
      <c r="N55" s="71"/>
      <c r="O55" s="7">
        <f>SUM(O47:O54)</f>
        <v>2</v>
      </c>
      <c r="P55" s="42"/>
      <c r="Q55" s="58">
        <f>SUM(Q47:Q54)</f>
        <v>59688</v>
      </c>
      <c r="R55" s="58"/>
      <c r="S55" s="4"/>
    </row>
  </sheetData>
  <sheetProtection/>
  <mergeCells count="78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43:S43"/>
    <mergeCell ref="A44:B45"/>
    <mergeCell ref="C44:K45"/>
    <mergeCell ref="L44:N45"/>
    <mergeCell ref="O44:O45"/>
    <mergeCell ref="P44:P45"/>
    <mergeCell ref="Q44:R45"/>
    <mergeCell ref="A46:B46"/>
    <mergeCell ref="C46:K46"/>
    <mergeCell ref="L46:N46"/>
    <mergeCell ref="Q46:R46"/>
    <mergeCell ref="A47:B47"/>
    <mergeCell ref="C47:K47"/>
    <mergeCell ref="L47:N47"/>
    <mergeCell ref="Q47:R47"/>
    <mergeCell ref="A48:B48"/>
    <mergeCell ref="C48:K48"/>
    <mergeCell ref="L48:N48"/>
    <mergeCell ref="Q48:R48"/>
    <mergeCell ref="A49:B49"/>
    <mergeCell ref="C49:K49"/>
    <mergeCell ref="L49:N49"/>
    <mergeCell ref="Q49:R49"/>
    <mergeCell ref="A50:B50"/>
    <mergeCell ref="C50:K50"/>
    <mergeCell ref="L50:N50"/>
    <mergeCell ref="Q50:R50"/>
    <mergeCell ref="A51:B51"/>
    <mergeCell ref="C51:K51"/>
    <mergeCell ref="L51:N51"/>
    <mergeCell ref="Q51:R51"/>
    <mergeCell ref="A52:B52"/>
    <mergeCell ref="C52:K52"/>
    <mergeCell ref="L52:N52"/>
    <mergeCell ref="Q52:R52"/>
    <mergeCell ref="A53:B53"/>
    <mergeCell ref="C53:K53"/>
    <mergeCell ref="L53:N53"/>
    <mergeCell ref="Q53:R53"/>
    <mergeCell ref="R30:S30"/>
    <mergeCell ref="C54:K54"/>
    <mergeCell ref="L54:N54"/>
    <mergeCell ref="Q54:R54"/>
    <mergeCell ref="E55:N55"/>
    <mergeCell ref="Q55:R55"/>
    <mergeCell ref="S44:S45"/>
    <mergeCell ref="Q33:R33"/>
  </mergeCells>
  <printOptions/>
  <pageMargins left="0.15625" right="0.010416666666666666" top="0.041666666666666664" bottom="0.010416666666666666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2017-02-06T04:40:48Z</cp:lastPrinted>
  <dcterms:created xsi:type="dcterms:W3CDTF">2012-12-17T06:03:29Z</dcterms:created>
  <dcterms:modified xsi:type="dcterms:W3CDTF">2017-02-09T09:11:57Z</dcterms:modified>
  <cp:category/>
  <cp:version/>
  <cp:contentType/>
  <cp:contentStatus/>
</cp:coreProperties>
</file>