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2225" windowHeight="4995"/>
  </bookViews>
  <sheets>
    <sheet name="2016" sheetId="5" r:id="rId1"/>
  </sheets>
  <definedNames>
    <definedName name="_xlnm.Print_Area" localSheetId="0">'2016'!$A$4:$S$34</definedName>
  </definedNames>
  <calcPr calcId="145621"/>
</workbook>
</file>

<file path=xl/calcChain.xml><?xml version="1.0" encoding="utf-8"?>
<calcChain xmlns="http://schemas.openxmlformats.org/spreadsheetml/2006/main">
  <c r="B29" i="5" l="1"/>
  <c r="B28" i="5"/>
  <c r="B27" i="5" l="1"/>
  <c r="C27" i="5"/>
  <c r="E27" i="5" s="1"/>
  <c r="F27" i="5"/>
  <c r="G27" i="5"/>
  <c r="H27" i="5"/>
  <c r="M27" i="5"/>
  <c r="R30" i="5"/>
  <c r="Q30" i="5"/>
  <c r="P30" i="5"/>
  <c r="N30" i="5"/>
  <c r="D30" i="5"/>
  <c r="B26" i="5" l="1"/>
  <c r="C26" i="5"/>
  <c r="E26" i="5"/>
  <c r="F26" i="5"/>
  <c r="G26" i="5"/>
  <c r="H26" i="5"/>
  <c r="M26" i="5"/>
  <c r="B25" i="5" l="1"/>
  <c r="C25" i="5"/>
  <c r="F25" i="5"/>
  <c r="G25" i="5"/>
  <c r="H25" i="5"/>
  <c r="M25" i="5"/>
  <c r="E25" i="5" l="1"/>
  <c r="B24" i="5" l="1"/>
  <c r="C24" i="5"/>
  <c r="F24" i="5"/>
  <c r="G24" i="5"/>
  <c r="H24" i="5"/>
  <c r="M24" i="5"/>
  <c r="E24" i="5" l="1"/>
  <c r="B23" i="5"/>
  <c r="C23" i="5"/>
  <c r="F23" i="5"/>
  <c r="G23" i="5"/>
  <c r="H23" i="5"/>
  <c r="M23" i="5"/>
  <c r="E23" i="5" l="1"/>
  <c r="B22" i="5"/>
  <c r="C22" i="5"/>
  <c r="F22" i="5"/>
  <c r="G22" i="5"/>
  <c r="H22" i="5"/>
  <c r="M22" i="5"/>
  <c r="E22" i="5" l="1"/>
  <c r="P13" i="5"/>
  <c r="M17" i="5"/>
  <c r="M18" i="5"/>
  <c r="M19" i="5"/>
  <c r="M20" i="5"/>
  <c r="M21" i="5"/>
  <c r="M16" i="5"/>
  <c r="J17" i="5"/>
  <c r="J19" i="5"/>
  <c r="H17" i="5"/>
  <c r="H18" i="5"/>
  <c r="H19" i="5"/>
  <c r="H20" i="5"/>
  <c r="H21" i="5"/>
  <c r="H16" i="5"/>
  <c r="G17" i="5"/>
  <c r="G18" i="5"/>
  <c r="G19" i="5"/>
  <c r="G20" i="5"/>
  <c r="G21" i="5"/>
  <c r="G16" i="5"/>
  <c r="F17" i="5"/>
  <c r="F18" i="5"/>
  <c r="F19" i="5"/>
  <c r="F20" i="5"/>
  <c r="F21" i="5"/>
  <c r="F16" i="5"/>
  <c r="F30" i="5" l="1"/>
  <c r="G30" i="5"/>
  <c r="H30" i="5"/>
  <c r="M30" i="5"/>
  <c r="B21" i="5"/>
  <c r="C21" i="5"/>
  <c r="E21" i="5" l="1"/>
  <c r="N13" i="5"/>
  <c r="M13" i="5"/>
  <c r="J13" i="5"/>
  <c r="J18" i="5" s="1"/>
  <c r="J16" i="5"/>
  <c r="B20" i="5"/>
  <c r="C20" i="5"/>
  <c r="E20" i="5" l="1"/>
  <c r="J24" i="5" s="1"/>
  <c r="O24" i="5" s="1"/>
  <c r="S24" i="5" s="1"/>
  <c r="O19" i="5"/>
  <c r="S19" i="5" s="1"/>
  <c r="C19" i="5"/>
  <c r="B19" i="5"/>
  <c r="E19" i="5" l="1"/>
  <c r="J23" i="5" s="1"/>
  <c r="O23" i="5" s="1"/>
  <c r="S23" i="5" s="1"/>
  <c r="Q13" i="5"/>
  <c r="O17" i="5"/>
  <c r="S17" i="5" s="1"/>
  <c r="O18" i="5"/>
  <c r="I13" i="5"/>
  <c r="H13" i="5"/>
  <c r="G13" i="5"/>
  <c r="F13" i="5"/>
  <c r="C18" i="5"/>
  <c r="B18" i="5"/>
  <c r="C17" i="5"/>
  <c r="B17" i="5"/>
  <c r="C16" i="5"/>
  <c r="C30" i="5" s="1"/>
  <c r="B16" i="5"/>
  <c r="E29" i="5"/>
  <c r="E28" i="5"/>
  <c r="B30" i="5" l="1"/>
  <c r="E17" i="5"/>
  <c r="J21" i="5" s="1"/>
  <c r="E18" i="5"/>
  <c r="J22" i="5" s="1"/>
  <c r="J27" i="5" s="1"/>
  <c r="O27" i="5" s="1"/>
  <c r="S27" i="5" s="1"/>
  <c r="E16" i="5"/>
  <c r="O16" i="5"/>
  <c r="S18" i="5"/>
  <c r="O47" i="5"/>
  <c r="Q46" i="5"/>
  <c r="Q45" i="5"/>
  <c r="Q44" i="5"/>
  <c r="Q43" i="5"/>
  <c r="Q42" i="5"/>
  <c r="Q41" i="5"/>
  <c r="Q40" i="5"/>
  <c r="R13" i="5"/>
  <c r="L13" i="5"/>
  <c r="K13" i="5"/>
  <c r="O11" i="5"/>
  <c r="O13" i="5" s="1"/>
  <c r="E11" i="5"/>
  <c r="O10" i="5"/>
  <c r="S10" i="5" s="1"/>
  <c r="E10" i="5"/>
  <c r="O22" i="5" l="1"/>
  <c r="S22" i="5" s="1"/>
  <c r="E30" i="5"/>
  <c r="O21" i="5"/>
  <c r="S21" i="5" s="1"/>
  <c r="J26" i="5"/>
  <c r="O26" i="5" s="1"/>
  <c r="S26" i="5" s="1"/>
  <c r="J20" i="5"/>
  <c r="S16" i="5"/>
  <c r="Q47" i="5"/>
  <c r="S11" i="5"/>
  <c r="S13" i="5" s="1"/>
  <c r="J25" i="5" l="1"/>
  <c r="O25" i="5" s="1"/>
  <c r="S25" i="5" s="1"/>
  <c r="O20" i="5"/>
  <c r="J30" i="5" l="1"/>
  <c r="O30" i="5"/>
  <c r="S20" i="5"/>
  <c r="S30" i="5" s="1"/>
  <c r="R31" i="5" l="1"/>
</calcChain>
</file>

<file path=xl/comments1.xml><?xml version="1.0" encoding="utf-8"?>
<comments xmlns="http://schemas.openxmlformats.org/spreadsheetml/2006/main">
  <authors>
    <author>User</author>
  </authors>
  <commentList>
    <comment ref="N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покос-274р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покос-274р</t>
        </r>
      </text>
    </comment>
    <comment ref="N2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тех.обслуживание ОДГО-632,31р</t>
        </r>
      </text>
    </comment>
  </commentList>
</comments>
</file>

<file path=xl/sharedStrings.xml><?xml version="1.0" encoding="utf-8"?>
<sst xmlns="http://schemas.openxmlformats.org/spreadsheetml/2006/main" count="76" uniqueCount="68">
  <si>
    <t>Содержание</t>
  </si>
  <si>
    <t>ремонт</t>
  </si>
  <si>
    <t>итого</t>
  </si>
  <si>
    <t>Быстров</t>
  </si>
  <si>
    <t>март</t>
  </si>
  <si>
    <t>май</t>
  </si>
  <si>
    <t>июнь</t>
  </si>
  <si>
    <t>июль</t>
  </si>
  <si>
    <t>Наименование работ</t>
  </si>
  <si>
    <t>ИТОГО</t>
  </si>
  <si>
    <t>август</t>
  </si>
  <si>
    <t>октябрь</t>
  </si>
  <si>
    <t>аптека №21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</si>
  <si>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</si>
  <si>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</si>
  <si>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</si>
  <si>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</si>
  <si>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</si>
  <si>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</si>
  <si>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</si>
  <si>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</si>
  <si>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</si>
  <si>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</si>
  <si>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</si>
  <si>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</si>
  <si>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</si>
  <si>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</si>
  <si>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</si>
  <si>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</si>
  <si>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charset val="204"/>
      </rPr>
      <t>СОДЕРЖАНИ</t>
    </r>
    <r>
      <rPr>
        <sz val="8"/>
        <rFont val="Arial Cyr"/>
        <charset val="204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</si>
  <si>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</si>
  <si>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</si>
  <si>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</si>
  <si>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</si>
  <si>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</si>
  <si>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</si>
  <si>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</si>
  <si>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</si>
  <si>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</si>
  <si>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</si>
  <si>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</si>
  <si>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</si>
  <si>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</si>
  <si>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</si>
  <si>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</si>
  <si>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</si>
  <si>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</si>
  <si>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</si>
  <si>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</si>
  <si>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</si>
  <si>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</si>
  <si>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</si>
  <si>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</si>
  <si>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</si>
  <si>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</si>
  <si>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необходи-мости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</si>
  <si>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</si>
  <si>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</si>
  <si>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</si>
  <si>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</si>
  <si>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</si>
  <si>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</si>
  <si>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</si>
  <si>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</si>
  <si>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</si>
  <si>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Информация о доходах и расходах по дому __Пушкина 56__на 2016год.</t>
  </si>
  <si>
    <t>покос</t>
  </si>
  <si>
    <t>тех.обслуживание ОДГО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</si>
</sst>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7" formatCode="#,##0&quot;р.&quot;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164" fontId="2" fillId="2" borderId="5" xfId="0" applyNumberFormat="1" applyFont="1" applyFill="1" applyBorder="1" applyAlignment="1"/>
    <xf numFmtId="0" fontId="0" fillId="0" borderId="5" xfId="0" applyBorder="1"/>
    <xf numFmtId="2" fontId="7" fillId="0" borderId="6" xfId="0" applyNumberFormat="1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 wrapText="1"/>
    </xf>
    <xf numFmtId="0" fontId="1" fillId="5" borderId="7" xfId="0" applyFont="1" applyFill="1" applyBorder="1" applyAlignment="1"/>
    <xf numFmtId="0" fontId="1" fillId="5" borderId="7" xfId="0" applyFont="1" applyFill="1" applyBorder="1" applyAlignment="1">
      <alignment wrapText="1"/>
    </xf>
    <xf numFmtId="2" fontId="5" fillId="5" borderId="7" xfId="0" applyNumberFormat="1" applyFont="1" applyFill="1" applyBorder="1" applyAlignment="1"/>
    <xf numFmtId="2" fontId="2" fillId="0" borderId="1" xfId="0" applyNumberFormat="1" applyFont="1" applyBorder="1" applyAlignment="1">
      <alignment horizontal="left" vertical="top" textRotation="90" wrapText="1"/>
    </xf>
    <xf numFmtId="0" fontId="12" fillId="5" borderId="5" xfId="0" applyNumberFormat="1" applyFont="1" applyFill="1" applyBorder="1" applyAlignment="1"/>
    <xf numFmtId="2" fontId="7" fillId="0" borderId="6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left" wrapText="1"/>
    </xf>
    <xf numFmtId="2" fontId="13" fillId="0" borderId="6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 wrapText="1"/>
    </xf>
    <xf numFmtId="2" fontId="11" fillId="0" borderId="6" xfId="0" applyNumberFormat="1" applyFont="1" applyBorder="1" applyAlignment="1">
      <alignment horizontal="center" wrapText="1"/>
    </xf>
    <xf numFmtId="0" fontId="12" fillId="5" borderId="5" xfId="0" applyNumberFormat="1" applyFont="1" applyFill="1" applyBorder="1" applyAlignment="1">
      <alignment wrapText="1"/>
    </xf>
    <xf numFmtId="4" fontId="7" fillId="5" borderId="5" xfId="0" applyNumberFormat="1" applyFont="1" applyFill="1" applyBorder="1"/>
    <xf numFmtId="2" fontId="5" fillId="0" borderId="6" xfId="0" applyNumberFormat="1" applyFont="1" applyBorder="1" applyAlignment="1">
      <alignment horizontal="center" vertical="top" wrapText="1"/>
    </xf>
    <xf numFmtId="4" fontId="7" fillId="5" borderId="5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 vertical="top" wrapText="1"/>
    </xf>
    <xf numFmtId="4" fontId="2" fillId="5" borderId="5" xfId="0" applyNumberFormat="1" applyFont="1" applyFill="1" applyBorder="1"/>
    <xf numFmtId="2" fontId="1" fillId="3" borderId="2" xfId="0" applyNumberFormat="1" applyFont="1" applyFill="1" applyBorder="1" applyAlignment="1">
      <alignment horizontal="center" vertical="top" wrapText="1"/>
    </xf>
    <xf numFmtId="2" fontId="2" fillId="3" borderId="9" xfId="0" applyNumberFormat="1" applyFont="1" applyFill="1" applyBorder="1" applyAlignment="1">
      <alignment horizontal="center" vertical="top" wrapText="1"/>
    </xf>
    <xf numFmtId="2" fontId="2" fillId="3" borderId="12" xfId="0" applyNumberFormat="1" applyFont="1" applyFill="1" applyBorder="1" applyAlignment="1">
      <alignment horizontal="center" vertical="top" wrapText="1"/>
    </xf>
    <xf numFmtId="2" fontId="2" fillId="3" borderId="8" xfId="0" applyNumberFormat="1" applyFont="1" applyFill="1" applyBorder="1" applyAlignment="1">
      <alignment horizontal="center" vertical="top" wrapText="1"/>
    </xf>
    <xf numFmtId="17" fontId="7" fillId="8" borderId="5" xfId="0" applyNumberFormat="1" applyFont="1" applyFill="1" applyBorder="1" applyAlignment="1">
      <alignment horizontal="left"/>
    </xf>
    <xf numFmtId="164" fontId="2" fillId="2" borderId="5" xfId="0" applyNumberFormat="1" applyFont="1" applyFill="1" applyBorder="1"/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164" fontId="2" fillId="6" borderId="5" xfId="0" applyNumberFormat="1" applyFont="1" applyFill="1" applyBorder="1"/>
    <xf numFmtId="4" fontId="2" fillId="3" borderId="5" xfId="0" applyNumberFormat="1" applyFont="1" applyFill="1" applyBorder="1"/>
    <xf numFmtId="17" fontId="7" fillId="9" borderId="5" xfId="0" applyNumberFormat="1" applyFont="1" applyFill="1" applyBorder="1" applyAlignment="1">
      <alignment horizontal="left" wrapText="1"/>
    </xf>
    <xf numFmtId="0" fontId="7" fillId="4" borderId="5" xfId="0" applyFont="1" applyFill="1" applyBorder="1"/>
    <xf numFmtId="164" fontId="2" fillId="4" borderId="5" xfId="0" applyNumberFormat="1" applyFont="1" applyFill="1" applyBorder="1"/>
    <xf numFmtId="4" fontId="5" fillId="4" borderId="5" xfId="0" applyNumberFormat="1" applyFont="1" applyFill="1" applyBorder="1"/>
    <xf numFmtId="0" fontId="0" fillId="10" borderId="5" xfId="0" applyFill="1" applyBorder="1"/>
    <xf numFmtId="0" fontId="0" fillId="5" borderId="5" xfId="0" applyFill="1" applyBorder="1"/>
    <xf numFmtId="0" fontId="0" fillId="5" borderId="2" xfId="0" applyFill="1" applyBorder="1"/>
    <xf numFmtId="0" fontId="0" fillId="0" borderId="2" xfId="0" applyBorder="1"/>
    <xf numFmtId="0" fontId="0" fillId="0" borderId="2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2" fillId="0" borderId="6" xfId="0" applyFont="1" applyBorder="1" applyAlignment="1">
      <alignment horizontal="left"/>
    </xf>
    <xf numFmtId="164" fontId="2" fillId="11" borderId="5" xfId="0" applyNumberFormat="1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/>
    <xf numFmtId="4" fontId="5" fillId="0" borderId="0" xfId="0" applyNumberFormat="1" applyFont="1" applyFill="1" applyBorder="1"/>
    <xf numFmtId="164" fontId="11" fillId="0" borderId="0" xfId="0" applyNumberFormat="1" applyFont="1" applyFill="1" applyBorder="1"/>
    <xf numFmtId="2" fontId="2" fillId="0" borderId="6" xfId="0" applyNumberFormat="1" applyFont="1" applyFill="1" applyBorder="1" applyAlignment="1">
      <alignment horizontal="right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5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167" fontId="2" fillId="0" borderId="0" xfId="0" applyNumberFormat="1" applyFont="1" applyFill="1" applyBorder="1"/>
    <xf numFmtId="2" fontId="7" fillId="0" borderId="1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10" borderId="2" xfId="0" applyFill="1" applyBorder="1" applyAlignment="1">
      <alignment horizontal="left" wrapText="1"/>
    </xf>
    <xf numFmtId="0" fontId="0" fillId="10" borderId="9" xfId="0" applyFill="1" applyBorder="1" applyAlignment="1">
      <alignment horizontal="left" wrapText="1"/>
    </xf>
    <xf numFmtId="0" fontId="0" fillId="10" borderId="8" xfId="0" applyFill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0" borderId="9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10" borderId="2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6" fillId="7" borderId="9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horizontal="center" vertical="top" wrapText="1"/>
    </xf>
    <xf numFmtId="2" fontId="1" fillId="3" borderId="9" xfId="0" applyNumberFormat="1" applyFont="1" applyFill="1" applyBorder="1" applyAlignment="1">
      <alignment horizontal="center" vertical="top" wrapText="1"/>
    </xf>
    <xf numFmtId="2" fontId="1" fillId="3" borderId="8" xfId="0" applyNumberFormat="1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1" fillId="6" borderId="2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2" fontId="5" fillId="0" borderId="14" xfId="0" applyNumberFormat="1" applyFont="1" applyBorder="1" applyAlignment="1">
      <alignment horizontal="left" wrapText="1"/>
    </xf>
    <xf numFmtId="2" fontId="5" fillId="0" borderId="13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textRotation="90" wrapText="1"/>
    </xf>
    <xf numFmtId="2" fontId="5" fillId="0" borderId="4" xfId="0" applyNumberFormat="1" applyFont="1" applyBorder="1" applyAlignment="1">
      <alignment horizontal="left" textRotation="90" wrapText="1"/>
    </xf>
    <xf numFmtId="2" fontId="5" fillId="0" borderId="6" xfId="0" applyNumberFormat="1" applyFont="1" applyBorder="1" applyAlignment="1">
      <alignment horizontal="left" textRotation="90" wrapText="1"/>
    </xf>
    <xf numFmtId="2" fontId="11" fillId="0" borderId="1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6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textRotation="90" wrapText="1"/>
    </xf>
    <xf numFmtId="2" fontId="2" fillId="0" borderId="6" xfId="0" applyNumberFormat="1" applyFont="1" applyBorder="1" applyAlignment="1">
      <alignment horizontal="left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4:S47"/>
  <sheetViews>
    <sheetView tabSelected="1" zoomScaleNormal="100" workbookViewId="0">
      <selection activeCell="T20" sqref="T20"/>
    </sheetView>
  </sheetViews>
  <sheetFormatPr defaultRowHeight="12.75" x14ac:dyDescent="0.2"/>
  <cols>
    <col min="2" max="2" width="10" customWidth="1"/>
    <col min="5" max="5" width="9.5703125" customWidth="1"/>
    <col min="9" max="9" width="9.140625" hidden="1" customWidth="1"/>
    <col min="10" max="10" width="8.85546875" customWidth="1"/>
    <col min="11" max="11" width="0.140625" hidden="1" customWidth="1"/>
    <col min="12" max="12" width="9.140625" hidden="1" customWidth="1"/>
  </cols>
  <sheetData>
    <row r="4" spans="1:19" ht="15.75" x14ac:dyDescent="0.25">
      <c r="A4" s="124" t="s">
        <v>65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x14ac:dyDescent="0.2">
      <c r="A6" s="126"/>
      <c r="B6" s="127"/>
      <c r="C6" s="127"/>
      <c r="D6" s="127"/>
      <c r="E6" s="128"/>
      <c r="F6" s="56" t="s">
        <v>14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57"/>
      <c r="S6" s="2"/>
    </row>
    <row r="7" spans="1:19" x14ac:dyDescent="0.2">
      <c r="A7" s="5"/>
      <c r="B7" s="130" t="s">
        <v>15</v>
      </c>
      <c r="C7" s="131"/>
      <c r="D7" s="131"/>
      <c r="E7" s="132"/>
      <c r="F7" s="133" t="s">
        <v>0</v>
      </c>
      <c r="G7" s="134"/>
      <c r="H7" s="134"/>
      <c r="I7" s="134"/>
      <c r="J7" s="134"/>
      <c r="K7" s="134"/>
      <c r="L7" s="134"/>
      <c r="M7" s="134"/>
      <c r="N7" s="134"/>
      <c r="O7" s="135"/>
      <c r="P7" s="136" t="s">
        <v>16</v>
      </c>
      <c r="Q7" s="137"/>
      <c r="R7" s="140" t="s">
        <v>17</v>
      </c>
      <c r="S7" s="143" t="s">
        <v>9</v>
      </c>
    </row>
    <row r="8" spans="1:19" x14ac:dyDescent="0.2">
      <c r="A8" s="6"/>
      <c r="B8" s="54" t="s">
        <v>18</v>
      </c>
      <c r="C8" s="54" t="s">
        <v>1</v>
      </c>
      <c r="D8" s="54" t="s">
        <v>19</v>
      </c>
      <c r="E8" s="122" t="s">
        <v>2</v>
      </c>
      <c r="F8" s="117" t="s">
        <v>20</v>
      </c>
      <c r="G8" s="117" t="s">
        <v>21</v>
      </c>
      <c r="H8" s="117" t="s">
        <v>22</v>
      </c>
      <c r="I8" s="117" t="s">
        <v>23</v>
      </c>
      <c r="J8" s="117" t="s">
        <v>24</v>
      </c>
      <c r="K8" s="117" t="s">
        <v>25</v>
      </c>
      <c r="L8" s="117" t="s">
        <v>26</v>
      </c>
      <c r="M8" s="117" t="s">
        <v>27</v>
      </c>
      <c r="N8" s="117" t="s">
        <v>28</v>
      </c>
      <c r="O8" s="146" t="s">
        <v>29</v>
      </c>
      <c r="P8" s="138"/>
      <c r="Q8" s="139"/>
      <c r="R8" s="141"/>
      <c r="S8" s="144"/>
    </row>
    <row r="9" spans="1:19" ht="129.75" x14ac:dyDescent="0.2">
      <c r="A9" s="7"/>
      <c r="B9" s="55"/>
      <c r="C9" s="55"/>
      <c r="D9" s="55"/>
      <c r="E9" s="123"/>
      <c r="F9" s="118"/>
      <c r="G9" s="118"/>
      <c r="H9" s="118"/>
      <c r="I9" s="118"/>
      <c r="J9" s="118"/>
      <c r="K9" s="118"/>
      <c r="L9" s="118"/>
      <c r="M9" s="118"/>
      <c r="N9" s="118"/>
      <c r="O9" s="147"/>
      <c r="P9" s="8" t="s">
        <v>30</v>
      </c>
      <c r="Q9" s="8" t="s">
        <v>31</v>
      </c>
      <c r="R9" s="142"/>
      <c r="S9" s="145"/>
    </row>
    <row r="10" spans="1:19" ht="15" x14ac:dyDescent="0.25">
      <c r="A10" s="9">
        <v>2015</v>
      </c>
      <c r="B10" s="4">
        <v>6.5</v>
      </c>
      <c r="C10" s="4">
        <v>3</v>
      </c>
      <c r="D10" s="4">
        <v>0</v>
      </c>
      <c r="E10" s="10">
        <f>SUM(B10:D10)</f>
        <v>9.5</v>
      </c>
      <c r="F10" s="43">
        <v>1.29</v>
      </c>
      <c r="G10" s="11">
        <v>3.17</v>
      </c>
      <c r="H10" s="11">
        <v>2.2400000000000002</v>
      </c>
      <c r="I10" s="11">
        <v>0</v>
      </c>
      <c r="J10" s="11">
        <v>0.46</v>
      </c>
      <c r="K10" s="11">
        <v>0</v>
      </c>
      <c r="L10" s="11">
        <v>0</v>
      </c>
      <c r="M10" s="11">
        <v>2.57</v>
      </c>
      <c r="N10" s="11">
        <v>0</v>
      </c>
      <c r="O10" s="12">
        <f>SUM(F10:N10)</f>
        <v>9.73</v>
      </c>
      <c r="P10" s="107">
        <v>0.51</v>
      </c>
      <c r="Q10" s="108"/>
      <c r="R10" s="13">
        <v>0</v>
      </c>
      <c r="S10" s="14">
        <f>SUM(O10:R10)</f>
        <v>10.24</v>
      </c>
    </row>
    <row r="11" spans="1:19" ht="15" x14ac:dyDescent="0.25">
      <c r="A11" s="15">
        <v>2016</v>
      </c>
      <c r="B11" s="3">
        <v>6.5</v>
      </c>
      <c r="C11" s="3">
        <v>3</v>
      </c>
      <c r="D11" s="3">
        <v>0</v>
      </c>
      <c r="E11" s="16">
        <f>SUM(B11:D11)</f>
        <v>9.5</v>
      </c>
      <c r="F11" s="49">
        <v>1</v>
      </c>
      <c r="G11" s="49">
        <v>3.1</v>
      </c>
      <c r="H11" s="49">
        <v>1.4</v>
      </c>
      <c r="I11" s="49">
        <v>0</v>
      </c>
      <c r="J11" s="49">
        <v>0</v>
      </c>
      <c r="K11" s="49">
        <v>0</v>
      </c>
      <c r="L11" s="49">
        <v>0</v>
      </c>
      <c r="M11" s="49">
        <v>1</v>
      </c>
      <c r="N11" s="49">
        <v>0</v>
      </c>
      <c r="O11" s="50">
        <f>SUM(F11:N11)</f>
        <v>6.5</v>
      </c>
      <c r="P11" s="51">
        <v>1.5</v>
      </c>
      <c r="Q11" s="51">
        <v>1.5</v>
      </c>
      <c r="R11" s="52">
        <v>0</v>
      </c>
      <c r="S11" s="17">
        <f>SUM(O11:R11)</f>
        <v>9.5</v>
      </c>
    </row>
    <row r="12" spans="1:19" ht="22.5" x14ac:dyDescent="0.2">
      <c r="A12" s="109" t="s">
        <v>32</v>
      </c>
      <c r="B12" s="110"/>
      <c r="C12" s="110"/>
      <c r="D12" s="111"/>
      <c r="E12" s="18">
        <v>719.4</v>
      </c>
      <c r="F12" s="112" t="s">
        <v>33</v>
      </c>
      <c r="G12" s="113"/>
      <c r="H12" s="113"/>
      <c r="I12" s="113"/>
      <c r="J12" s="113"/>
      <c r="K12" s="113"/>
      <c r="L12" s="113"/>
      <c r="M12" s="113"/>
      <c r="N12" s="114"/>
      <c r="O12" s="17"/>
      <c r="P12" s="115" t="s">
        <v>34</v>
      </c>
      <c r="Q12" s="116"/>
      <c r="R12" s="17" t="s">
        <v>35</v>
      </c>
      <c r="S12" s="17"/>
    </row>
    <row r="13" spans="1:19" x14ac:dyDescent="0.2">
      <c r="A13" s="119" t="s">
        <v>36</v>
      </c>
      <c r="B13" s="120"/>
      <c r="C13" s="120"/>
      <c r="D13" s="120"/>
      <c r="E13" s="121"/>
      <c r="F13" s="19">
        <f>E12*F11</f>
        <v>719.4</v>
      </c>
      <c r="G13" s="19">
        <f>E12*G11</f>
        <v>2230.14</v>
      </c>
      <c r="H13" s="19">
        <f>E12*H11</f>
        <v>1007.1599999999999</v>
      </c>
      <c r="I13" s="19">
        <f>E12*I11</f>
        <v>0</v>
      </c>
      <c r="J13" s="19">
        <f>E12*J11</f>
        <v>0</v>
      </c>
      <c r="K13" s="19">
        <f t="shared" ref="K13:S13" si="0">SUM(K11*2002.5)</f>
        <v>0</v>
      </c>
      <c r="L13" s="19">
        <f t="shared" si="0"/>
        <v>0</v>
      </c>
      <c r="M13" s="19">
        <f>E12*M11</f>
        <v>719.4</v>
      </c>
      <c r="N13" s="19">
        <f>E12*N11</f>
        <v>0</v>
      </c>
      <c r="O13" s="19">
        <f t="shared" si="0"/>
        <v>13016.25</v>
      </c>
      <c r="P13" s="19">
        <f>E12*P11</f>
        <v>1079.0999999999999</v>
      </c>
      <c r="Q13" s="19">
        <f>E12*Q11</f>
        <v>1079.0999999999999</v>
      </c>
      <c r="R13" s="19">
        <f t="shared" si="0"/>
        <v>0</v>
      </c>
      <c r="S13" s="19">
        <f t="shared" si="0"/>
        <v>19023.75</v>
      </c>
    </row>
    <row r="14" spans="1:19" x14ac:dyDescent="0.2">
      <c r="A14" s="80" t="s">
        <v>37</v>
      </c>
      <c r="B14" s="80"/>
      <c r="C14" s="80"/>
      <c r="D14" s="80"/>
      <c r="E14" s="81"/>
      <c r="F14" s="82" t="s">
        <v>38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4"/>
    </row>
    <row r="15" spans="1:19" x14ac:dyDescent="0.2">
      <c r="A15" s="85" t="s">
        <v>39</v>
      </c>
      <c r="B15" s="85"/>
      <c r="C15" s="85"/>
      <c r="D15" s="86"/>
      <c r="E15" s="20">
        <v>-59353.466400000019</v>
      </c>
      <c r="F15" s="21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4"/>
    </row>
    <row r="16" spans="1:19" x14ac:dyDescent="0.2">
      <c r="A16" s="25" t="s">
        <v>40</v>
      </c>
      <c r="B16" s="26">
        <f>1188.85+2075.02</f>
        <v>3263.87</v>
      </c>
      <c r="C16" s="26">
        <f>548.7+954</f>
        <v>1502.7</v>
      </c>
      <c r="D16" s="26">
        <v>0</v>
      </c>
      <c r="E16" s="1">
        <f t="shared" ref="E16:E27" si="1">B16+C16+D16</f>
        <v>4766.57</v>
      </c>
      <c r="F16" s="27">
        <f>719.4*1</f>
        <v>719.4</v>
      </c>
      <c r="G16" s="27">
        <f>719.4*3.1</f>
        <v>2230.14</v>
      </c>
      <c r="H16" s="28">
        <f>719.4*1.4</f>
        <v>1007.1599999999999</v>
      </c>
      <c r="I16" s="27">
        <v>0</v>
      </c>
      <c r="J16" s="27">
        <f>E12*J11</f>
        <v>0</v>
      </c>
      <c r="K16" s="27">
        <v>0</v>
      </c>
      <c r="L16" s="27">
        <v>0</v>
      </c>
      <c r="M16" s="27">
        <f>719.4*1</f>
        <v>719.4</v>
      </c>
      <c r="N16" s="27">
        <v>0</v>
      </c>
      <c r="O16" s="44">
        <f>SUM(F16:N16)</f>
        <v>4676.0999999999995</v>
      </c>
      <c r="P16" s="29">
        <v>0</v>
      </c>
      <c r="Q16" s="29">
        <v>0</v>
      </c>
      <c r="R16" s="27">
        <v>0</v>
      </c>
      <c r="S16" s="30">
        <f>O16+P16+Q16+R16</f>
        <v>4676.0999999999995</v>
      </c>
    </row>
    <row r="17" spans="1:19" x14ac:dyDescent="0.2">
      <c r="A17" s="25" t="s">
        <v>41</v>
      </c>
      <c r="B17" s="26">
        <f>1188.85+2979.16</f>
        <v>4168.01</v>
      </c>
      <c r="C17" s="26">
        <f>549.93+1382.4</f>
        <v>1932.33</v>
      </c>
      <c r="D17" s="26">
        <v>0</v>
      </c>
      <c r="E17" s="1">
        <f t="shared" si="1"/>
        <v>6100.34</v>
      </c>
      <c r="F17" s="27">
        <f t="shared" ref="F17:F27" si="2">719.4*1</f>
        <v>719.4</v>
      </c>
      <c r="G17" s="27">
        <f t="shared" ref="G17:G27" si="3">719.4*3.1</f>
        <v>2230.14</v>
      </c>
      <c r="H17" s="28">
        <f t="shared" ref="H17:H27" si="4">719.4*1.4</f>
        <v>1007.1599999999999</v>
      </c>
      <c r="I17" s="27">
        <v>0</v>
      </c>
      <c r="J17" s="27">
        <f t="shared" ref="J17:J22" si="5">E13*J12</f>
        <v>0</v>
      </c>
      <c r="K17" s="27">
        <v>0</v>
      </c>
      <c r="L17" s="27">
        <v>0</v>
      </c>
      <c r="M17" s="27">
        <f t="shared" ref="M17:M27" si="6">719.4*1</f>
        <v>719.4</v>
      </c>
      <c r="N17" s="27">
        <v>0</v>
      </c>
      <c r="O17" s="44">
        <f t="shared" ref="O17:O22" si="7">SUM(F17:N17)</f>
        <v>4676.0999999999995</v>
      </c>
      <c r="P17" s="29">
        <v>0</v>
      </c>
      <c r="Q17" s="29">
        <v>0</v>
      </c>
      <c r="R17" s="27">
        <v>0</v>
      </c>
      <c r="S17" s="30">
        <f t="shared" ref="S17:S27" si="8">O17+P17+Q17+R17</f>
        <v>4676.0999999999995</v>
      </c>
    </row>
    <row r="18" spans="1:19" x14ac:dyDescent="0.2">
      <c r="A18" s="25" t="s">
        <v>4</v>
      </c>
      <c r="B18" s="26">
        <f>2807.27+2067</f>
        <v>4874.2700000000004</v>
      </c>
      <c r="C18" s="26">
        <f>1833.7+954</f>
        <v>2787.7</v>
      </c>
      <c r="D18" s="26">
        <v>0</v>
      </c>
      <c r="E18" s="1">
        <f t="shared" si="1"/>
        <v>7661.97</v>
      </c>
      <c r="F18" s="27">
        <f t="shared" si="2"/>
        <v>719.4</v>
      </c>
      <c r="G18" s="27">
        <f t="shared" si="3"/>
        <v>2230.14</v>
      </c>
      <c r="H18" s="28">
        <f t="shared" si="4"/>
        <v>1007.1599999999999</v>
      </c>
      <c r="I18" s="27">
        <v>0</v>
      </c>
      <c r="J18" s="27">
        <f t="shared" si="5"/>
        <v>0</v>
      </c>
      <c r="K18" s="27">
        <v>0</v>
      </c>
      <c r="L18" s="27">
        <v>0</v>
      </c>
      <c r="M18" s="27">
        <f t="shared" si="6"/>
        <v>719.4</v>
      </c>
      <c r="N18" s="27">
        <v>0</v>
      </c>
      <c r="O18" s="44">
        <f t="shared" si="7"/>
        <v>4676.0999999999995</v>
      </c>
      <c r="P18" s="29">
        <v>0</v>
      </c>
      <c r="Q18" s="29">
        <v>0</v>
      </c>
      <c r="R18" s="27">
        <v>0</v>
      </c>
      <c r="S18" s="30">
        <f t="shared" si="8"/>
        <v>4676.0999999999995</v>
      </c>
    </row>
    <row r="19" spans="1:19" x14ac:dyDescent="0.2">
      <c r="A19" s="25" t="s">
        <v>42</v>
      </c>
      <c r="B19" s="26">
        <f>2688.85+5341.7</f>
        <v>8030.5499999999993</v>
      </c>
      <c r="C19" s="26">
        <f>1048.7+2465.4</f>
        <v>3514.1000000000004</v>
      </c>
      <c r="D19" s="26">
        <v>0</v>
      </c>
      <c r="E19" s="1">
        <f t="shared" si="1"/>
        <v>11544.65</v>
      </c>
      <c r="F19" s="27">
        <f t="shared" si="2"/>
        <v>719.4</v>
      </c>
      <c r="G19" s="27">
        <f t="shared" si="3"/>
        <v>2230.14</v>
      </c>
      <c r="H19" s="28">
        <f t="shared" si="4"/>
        <v>1007.1599999999999</v>
      </c>
      <c r="I19" s="27">
        <v>0</v>
      </c>
      <c r="J19" s="27">
        <f t="shared" si="5"/>
        <v>0</v>
      </c>
      <c r="K19" s="27">
        <v>0</v>
      </c>
      <c r="L19" s="27">
        <v>0</v>
      </c>
      <c r="M19" s="27">
        <f t="shared" si="6"/>
        <v>719.4</v>
      </c>
      <c r="N19" s="27">
        <v>0</v>
      </c>
      <c r="O19" s="44">
        <f t="shared" si="7"/>
        <v>4676.0999999999995</v>
      </c>
      <c r="P19" s="29">
        <v>0</v>
      </c>
      <c r="Q19" s="29">
        <v>0</v>
      </c>
      <c r="R19" s="27">
        <v>0</v>
      </c>
      <c r="S19" s="30">
        <f t="shared" si="8"/>
        <v>4676.0999999999995</v>
      </c>
    </row>
    <row r="20" spans="1:19" x14ac:dyDescent="0.2">
      <c r="A20" s="25" t="s">
        <v>5</v>
      </c>
      <c r="B20" s="26">
        <f>2688.85+2475.2+100</f>
        <v>5264.0499999999993</v>
      </c>
      <c r="C20" s="26">
        <f>948.7+1142.4</f>
        <v>2091.1000000000004</v>
      </c>
      <c r="D20" s="26">
        <v>0</v>
      </c>
      <c r="E20" s="1">
        <f t="shared" si="1"/>
        <v>7355.15</v>
      </c>
      <c r="F20" s="27">
        <f t="shared" si="2"/>
        <v>719.4</v>
      </c>
      <c r="G20" s="27">
        <f t="shared" si="3"/>
        <v>2230.14</v>
      </c>
      <c r="H20" s="28">
        <f t="shared" si="4"/>
        <v>1007.1599999999999</v>
      </c>
      <c r="I20" s="27">
        <v>0</v>
      </c>
      <c r="J20" s="27">
        <f t="shared" si="5"/>
        <v>0</v>
      </c>
      <c r="K20" s="27">
        <v>0</v>
      </c>
      <c r="L20" s="27">
        <v>0</v>
      </c>
      <c r="M20" s="27">
        <f t="shared" si="6"/>
        <v>719.4</v>
      </c>
      <c r="N20" s="27">
        <v>274</v>
      </c>
      <c r="O20" s="44">
        <f t="shared" si="7"/>
        <v>4950.0999999999995</v>
      </c>
      <c r="P20" s="29">
        <v>0</v>
      </c>
      <c r="Q20" s="29">
        <v>0</v>
      </c>
      <c r="R20" s="27">
        <v>0</v>
      </c>
      <c r="S20" s="30">
        <f t="shared" si="8"/>
        <v>4950.0999999999995</v>
      </c>
    </row>
    <row r="21" spans="1:19" x14ac:dyDescent="0.2">
      <c r="A21" s="25" t="s">
        <v>6</v>
      </c>
      <c r="B21" s="26">
        <f>2611.56+1545.05</f>
        <v>4156.6099999999997</v>
      </c>
      <c r="C21" s="26">
        <f>1115.7+713</f>
        <v>1828.7</v>
      </c>
      <c r="D21" s="26">
        <v>0</v>
      </c>
      <c r="E21" s="1">
        <f t="shared" si="1"/>
        <v>5985.3099999999995</v>
      </c>
      <c r="F21" s="27">
        <f t="shared" si="2"/>
        <v>719.4</v>
      </c>
      <c r="G21" s="27">
        <f t="shared" si="3"/>
        <v>2230.14</v>
      </c>
      <c r="H21" s="28">
        <f t="shared" si="4"/>
        <v>1007.1599999999999</v>
      </c>
      <c r="I21" s="27">
        <v>0</v>
      </c>
      <c r="J21" s="27">
        <f t="shared" si="5"/>
        <v>0</v>
      </c>
      <c r="K21" s="27">
        <v>0</v>
      </c>
      <c r="L21" s="27">
        <v>0</v>
      </c>
      <c r="M21" s="27">
        <f t="shared" si="6"/>
        <v>719.4</v>
      </c>
      <c r="N21" s="27">
        <v>0</v>
      </c>
      <c r="O21" s="44">
        <f t="shared" si="7"/>
        <v>4676.0999999999995</v>
      </c>
      <c r="P21" s="29">
        <v>0</v>
      </c>
      <c r="Q21" s="29">
        <v>0</v>
      </c>
      <c r="R21" s="27">
        <v>0</v>
      </c>
      <c r="S21" s="30">
        <f t="shared" si="8"/>
        <v>4676.0999999999995</v>
      </c>
    </row>
    <row r="22" spans="1:19" x14ac:dyDescent="0.2">
      <c r="A22" s="25" t="s">
        <v>7</v>
      </c>
      <c r="B22" s="26">
        <f>756.6+2588.95</f>
        <v>3345.5499999999997</v>
      </c>
      <c r="C22" s="26">
        <f>349.2+1194.9</f>
        <v>1544.1000000000001</v>
      </c>
      <c r="D22" s="26">
        <v>0</v>
      </c>
      <c r="E22" s="1">
        <f t="shared" si="1"/>
        <v>4889.6499999999996</v>
      </c>
      <c r="F22" s="27">
        <f t="shared" si="2"/>
        <v>719.4</v>
      </c>
      <c r="G22" s="27">
        <f t="shared" si="3"/>
        <v>2230.14</v>
      </c>
      <c r="H22" s="28">
        <f t="shared" si="4"/>
        <v>1007.1599999999999</v>
      </c>
      <c r="I22" s="27">
        <v>0</v>
      </c>
      <c r="J22" s="27">
        <f t="shared" si="5"/>
        <v>0</v>
      </c>
      <c r="K22" s="27">
        <v>0</v>
      </c>
      <c r="L22" s="27">
        <v>0</v>
      </c>
      <c r="M22" s="27">
        <f t="shared" si="6"/>
        <v>719.4</v>
      </c>
      <c r="N22" s="27">
        <v>0</v>
      </c>
      <c r="O22" s="44">
        <f t="shared" si="7"/>
        <v>4676.0999999999995</v>
      </c>
      <c r="P22" s="29">
        <v>0</v>
      </c>
      <c r="Q22" s="29">
        <v>0</v>
      </c>
      <c r="R22" s="27">
        <v>0</v>
      </c>
      <c r="S22" s="30">
        <f t="shared" si="8"/>
        <v>4676.0999999999995</v>
      </c>
    </row>
    <row r="23" spans="1:19" x14ac:dyDescent="0.2">
      <c r="A23" s="25" t="s">
        <v>10</v>
      </c>
      <c r="B23" s="26">
        <f>805.35+3067+302.3</f>
        <v>4174.6499999999996</v>
      </c>
      <c r="C23" s="26">
        <f>370.47+1274</f>
        <v>1644.47</v>
      </c>
      <c r="D23" s="26">
        <v>0</v>
      </c>
      <c r="E23" s="1">
        <f t="shared" si="1"/>
        <v>5819.12</v>
      </c>
      <c r="F23" s="27">
        <f t="shared" si="2"/>
        <v>719.4</v>
      </c>
      <c r="G23" s="27">
        <f t="shared" si="3"/>
        <v>2230.14</v>
      </c>
      <c r="H23" s="28">
        <f t="shared" si="4"/>
        <v>1007.1599999999999</v>
      </c>
      <c r="I23" s="27">
        <v>1</v>
      </c>
      <c r="J23" s="27">
        <f t="shared" ref="J23:J27" si="9">E19*J18</f>
        <v>0</v>
      </c>
      <c r="K23" s="27">
        <v>0</v>
      </c>
      <c r="L23" s="27">
        <v>0</v>
      </c>
      <c r="M23" s="27">
        <f t="shared" si="6"/>
        <v>719.4</v>
      </c>
      <c r="N23" s="27">
        <v>274</v>
      </c>
      <c r="O23" s="44">
        <f t="shared" ref="O23:O27" si="10">SUM(F23:N23)</f>
        <v>4951.0999999999995</v>
      </c>
      <c r="P23" s="29">
        <v>3158</v>
      </c>
      <c r="Q23" s="29">
        <v>0</v>
      </c>
      <c r="R23" s="27">
        <v>0</v>
      </c>
      <c r="S23" s="30">
        <f t="shared" si="8"/>
        <v>8109.0999999999995</v>
      </c>
    </row>
    <row r="24" spans="1:19" x14ac:dyDescent="0.2">
      <c r="A24" s="25" t="s">
        <v>43</v>
      </c>
      <c r="B24" s="26">
        <f>1517.75+1738.1</f>
        <v>3255.85</v>
      </c>
      <c r="C24" s="26">
        <f>700.5+802.2</f>
        <v>1502.7</v>
      </c>
      <c r="D24" s="26">
        <v>0</v>
      </c>
      <c r="E24" s="1">
        <f t="shared" si="1"/>
        <v>4758.55</v>
      </c>
      <c r="F24" s="27">
        <f t="shared" si="2"/>
        <v>719.4</v>
      </c>
      <c r="G24" s="27">
        <f t="shared" si="3"/>
        <v>2230.14</v>
      </c>
      <c r="H24" s="28">
        <f t="shared" si="4"/>
        <v>1007.1599999999999</v>
      </c>
      <c r="I24" s="27"/>
      <c r="J24" s="27">
        <f t="shared" si="9"/>
        <v>0</v>
      </c>
      <c r="K24" s="27"/>
      <c r="L24" s="27"/>
      <c r="M24" s="27">
        <f t="shared" si="6"/>
        <v>719.4</v>
      </c>
      <c r="N24" s="27">
        <v>0</v>
      </c>
      <c r="O24" s="44">
        <f t="shared" si="10"/>
        <v>4676.0999999999995</v>
      </c>
      <c r="P24" s="29">
        <v>0</v>
      </c>
      <c r="Q24" s="29">
        <v>1750</v>
      </c>
      <c r="R24" s="27">
        <v>0</v>
      </c>
      <c r="S24" s="30">
        <f t="shared" si="8"/>
        <v>6426.0999999999995</v>
      </c>
    </row>
    <row r="25" spans="1:19" x14ac:dyDescent="0.2">
      <c r="A25" s="25" t="s">
        <v>44</v>
      </c>
      <c r="B25" s="26">
        <f>3638.7+1778.4</f>
        <v>5417.1</v>
      </c>
      <c r="C25" s="26">
        <f>681.9+820.8</f>
        <v>1502.6999999999998</v>
      </c>
      <c r="D25" s="26">
        <v>0</v>
      </c>
      <c r="E25" s="1">
        <f t="shared" si="1"/>
        <v>6919.8</v>
      </c>
      <c r="F25" s="27">
        <f t="shared" si="2"/>
        <v>719.4</v>
      </c>
      <c r="G25" s="27">
        <f t="shared" si="3"/>
        <v>2230.14</v>
      </c>
      <c r="H25" s="28">
        <f t="shared" si="4"/>
        <v>1007.1599999999999</v>
      </c>
      <c r="I25" s="27"/>
      <c r="J25" s="27">
        <f t="shared" si="9"/>
        <v>0</v>
      </c>
      <c r="K25" s="27"/>
      <c r="L25" s="27"/>
      <c r="M25" s="27">
        <f t="shared" si="6"/>
        <v>719.4</v>
      </c>
      <c r="N25" s="27">
        <v>632.30999999999995</v>
      </c>
      <c r="O25" s="44">
        <f t="shared" si="10"/>
        <v>5308.41</v>
      </c>
      <c r="P25" s="29">
        <v>0</v>
      </c>
      <c r="Q25" s="29">
        <v>0</v>
      </c>
      <c r="R25" s="27">
        <v>0</v>
      </c>
      <c r="S25" s="30">
        <f t="shared" si="8"/>
        <v>5308.41</v>
      </c>
    </row>
    <row r="26" spans="1:19" x14ac:dyDescent="0.2">
      <c r="A26" s="25" t="s">
        <v>45</v>
      </c>
      <c r="B26" s="26">
        <f>4078.1+2475.2</f>
        <v>6553.2999999999993</v>
      </c>
      <c r="C26" s="26">
        <f>1882.2+1142.4</f>
        <v>3024.6000000000004</v>
      </c>
      <c r="D26" s="26">
        <v>0</v>
      </c>
      <c r="E26" s="1">
        <f t="shared" si="1"/>
        <v>9577.9</v>
      </c>
      <c r="F26" s="27">
        <f t="shared" si="2"/>
        <v>719.4</v>
      </c>
      <c r="G26" s="27">
        <f t="shared" si="3"/>
        <v>2230.14</v>
      </c>
      <c r="H26" s="28">
        <f t="shared" si="4"/>
        <v>1007.1599999999999</v>
      </c>
      <c r="I26" s="27"/>
      <c r="J26" s="27">
        <f t="shared" si="9"/>
        <v>0</v>
      </c>
      <c r="K26" s="27"/>
      <c r="L26" s="27"/>
      <c r="M26" s="27">
        <f t="shared" si="6"/>
        <v>719.4</v>
      </c>
      <c r="N26" s="27">
        <v>0</v>
      </c>
      <c r="O26" s="44">
        <f t="shared" si="10"/>
        <v>4676.0999999999995</v>
      </c>
      <c r="P26" s="29">
        <v>0</v>
      </c>
      <c r="Q26" s="29">
        <v>0</v>
      </c>
      <c r="R26" s="27">
        <v>0</v>
      </c>
      <c r="S26" s="30">
        <f t="shared" si="8"/>
        <v>4676.0999999999995</v>
      </c>
    </row>
    <row r="27" spans="1:19" x14ac:dyDescent="0.2">
      <c r="A27" s="25" t="s">
        <v>46</v>
      </c>
      <c r="B27" s="26">
        <f>1188.85+3688.95</f>
        <v>4877.7999999999993</v>
      </c>
      <c r="C27" s="26">
        <f>548.7+1632.9</f>
        <v>2181.6000000000004</v>
      </c>
      <c r="D27" s="26">
        <v>0</v>
      </c>
      <c r="E27" s="1">
        <f t="shared" si="1"/>
        <v>7059.4</v>
      </c>
      <c r="F27" s="27">
        <f t="shared" si="2"/>
        <v>719.4</v>
      </c>
      <c r="G27" s="27">
        <f t="shared" si="3"/>
        <v>2230.14</v>
      </c>
      <c r="H27" s="28">
        <f t="shared" si="4"/>
        <v>1007.1599999999999</v>
      </c>
      <c r="I27" s="27"/>
      <c r="J27" s="27">
        <f t="shared" si="9"/>
        <v>0</v>
      </c>
      <c r="K27" s="27"/>
      <c r="L27" s="27"/>
      <c r="M27" s="27">
        <f t="shared" si="6"/>
        <v>719.4</v>
      </c>
      <c r="N27" s="27">
        <v>0</v>
      </c>
      <c r="O27" s="44">
        <f t="shared" si="10"/>
        <v>4676.0999999999995</v>
      </c>
      <c r="P27" s="29">
        <v>0</v>
      </c>
      <c r="Q27" s="29">
        <v>0</v>
      </c>
      <c r="R27" s="27">
        <v>0</v>
      </c>
      <c r="S27" s="30">
        <f t="shared" si="8"/>
        <v>4676.0999999999995</v>
      </c>
    </row>
    <row r="28" spans="1:19" ht="24" x14ac:dyDescent="0.2">
      <c r="A28" s="31" t="s">
        <v>12</v>
      </c>
      <c r="B28" s="26">
        <f>19308.6+19308.6</f>
        <v>38617.199999999997</v>
      </c>
      <c r="C28" s="26">
        <v>0</v>
      </c>
      <c r="D28" s="26">
        <v>0</v>
      </c>
      <c r="E28" s="26">
        <f>B28+C28+D28</f>
        <v>38617.199999999997</v>
      </c>
      <c r="F28" s="27"/>
      <c r="G28" s="27"/>
      <c r="H28" s="27"/>
      <c r="I28" s="27"/>
      <c r="J28" s="27"/>
      <c r="K28" s="27"/>
      <c r="L28" s="27"/>
      <c r="M28" s="27"/>
      <c r="N28" s="27"/>
      <c r="O28" s="44"/>
      <c r="P28" s="29"/>
      <c r="Q28" s="29"/>
      <c r="R28" s="27"/>
      <c r="S28" s="30"/>
    </row>
    <row r="29" spans="1:19" x14ac:dyDescent="0.2">
      <c r="A29" s="31" t="s">
        <v>3</v>
      </c>
      <c r="B29" s="26">
        <f>1380+1380+2760</f>
        <v>5520</v>
      </c>
      <c r="C29" s="26">
        <v>0</v>
      </c>
      <c r="D29" s="26">
        <v>0</v>
      </c>
      <c r="E29" s="26">
        <f>B29+C29+D29</f>
        <v>5520</v>
      </c>
      <c r="F29" s="27"/>
      <c r="G29" s="27"/>
      <c r="H29" s="27"/>
      <c r="I29" s="27"/>
      <c r="J29" s="27"/>
      <c r="K29" s="27"/>
      <c r="L29" s="27"/>
      <c r="M29" s="27"/>
      <c r="N29" s="27"/>
      <c r="O29" s="44"/>
      <c r="P29" s="29"/>
      <c r="Q29" s="29"/>
      <c r="R29" s="27"/>
      <c r="S29" s="30"/>
    </row>
    <row r="30" spans="1:19" x14ac:dyDescent="0.2">
      <c r="A30" s="32" t="s">
        <v>2</v>
      </c>
      <c r="B30" s="33">
        <f>SUM(B16:B29)</f>
        <v>101518.81</v>
      </c>
      <c r="C30" s="33">
        <f>SUM(C16:C29)</f>
        <v>25056.800000000003</v>
      </c>
      <c r="D30" s="33">
        <f>SUM(D16:D29)</f>
        <v>0</v>
      </c>
      <c r="E30" s="33">
        <f>SUM(E15:E29)</f>
        <v>67222.143599999981</v>
      </c>
      <c r="F30" s="33">
        <f>SUM(F16:F29)</f>
        <v>8632.7999999999975</v>
      </c>
      <c r="G30" s="33">
        <f>SUM(G16:G29)</f>
        <v>26761.679999999997</v>
      </c>
      <c r="H30" s="33">
        <f>SUM(H16:H29)</f>
        <v>12085.919999999998</v>
      </c>
      <c r="I30" s="33"/>
      <c r="J30" s="33">
        <f>SUM(J16:J29)</f>
        <v>0</v>
      </c>
      <c r="K30" s="33"/>
      <c r="L30" s="33"/>
      <c r="M30" s="33">
        <f t="shared" ref="M30:S30" si="11">SUM(M16:M29)</f>
        <v>8632.7999999999975</v>
      </c>
      <c r="N30" s="33">
        <f t="shared" si="11"/>
        <v>1180.31</v>
      </c>
      <c r="O30" s="33">
        <f t="shared" si="11"/>
        <v>57294.509999999995</v>
      </c>
      <c r="P30" s="33">
        <f t="shared" si="11"/>
        <v>3158</v>
      </c>
      <c r="Q30" s="33">
        <f t="shared" si="11"/>
        <v>1750</v>
      </c>
      <c r="R30" s="33">
        <f t="shared" si="11"/>
        <v>0</v>
      </c>
      <c r="S30" s="34">
        <f t="shared" si="11"/>
        <v>62202.509999999995</v>
      </c>
    </row>
    <row r="31" spans="1:19" x14ac:dyDescent="0.2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8" t="s">
        <v>13</v>
      </c>
      <c r="R31" s="106">
        <f>E30-S30</f>
        <v>5019.6335999999865</v>
      </c>
      <c r="S31" s="106"/>
    </row>
    <row r="32" spans="1:19" x14ac:dyDescent="0.2">
      <c r="A32" s="45"/>
      <c r="B32" s="46" t="s">
        <v>5</v>
      </c>
      <c r="C32" s="53">
        <v>274</v>
      </c>
      <c r="D32" s="46" t="s">
        <v>66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  <row r="33" spans="1:19" x14ac:dyDescent="0.2">
      <c r="A33" s="45"/>
      <c r="B33" s="46" t="s">
        <v>10</v>
      </c>
      <c r="C33" s="53">
        <v>274</v>
      </c>
      <c r="D33" s="46" t="s">
        <v>66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</row>
    <row r="34" spans="1:19" x14ac:dyDescent="0.2">
      <c r="A34" s="45"/>
      <c r="B34" s="46" t="s">
        <v>11</v>
      </c>
      <c r="C34" s="53">
        <v>632.30999999999995</v>
      </c>
      <c r="D34" s="46" t="s">
        <v>67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</row>
    <row r="36" spans="1:19" ht="15" x14ac:dyDescent="0.25">
      <c r="A36" s="87" t="s">
        <v>47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x14ac:dyDescent="0.2">
      <c r="A37" s="88" t="s">
        <v>48</v>
      </c>
      <c r="B37" s="89"/>
      <c r="C37" s="92" t="s">
        <v>8</v>
      </c>
      <c r="D37" s="93"/>
      <c r="E37" s="93"/>
      <c r="F37" s="93"/>
      <c r="G37" s="93"/>
      <c r="H37" s="93"/>
      <c r="I37" s="93"/>
      <c r="J37" s="93"/>
      <c r="K37" s="94"/>
      <c r="L37" s="98" t="s">
        <v>49</v>
      </c>
      <c r="M37" s="99"/>
      <c r="N37" s="100"/>
      <c r="O37" s="104" t="s">
        <v>50</v>
      </c>
      <c r="P37" s="104"/>
      <c r="Q37" s="88" t="s">
        <v>51</v>
      </c>
      <c r="R37" s="89"/>
      <c r="S37" s="104" t="s">
        <v>52</v>
      </c>
    </row>
    <row r="38" spans="1:19" x14ac:dyDescent="0.2">
      <c r="A38" s="90"/>
      <c r="B38" s="91"/>
      <c r="C38" s="95"/>
      <c r="D38" s="96"/>
      <c r="E38" s="96"/>
      <c r="F38" s="96"/>
      <c r="G38" s="96"/>
      <c r="H38" s="96"/>
      <c r="I38" s="96"/>
      <c r="J38" s="96"/>
      <c r="K38" s="97"/>
      <c r="L38" s="101"/>
      <c r="M38" s="102"/>
      <c r="N38" s="103"/>
      <c r="O38" s="105"/>
      <c r="P38" s="105"/>
      <c r="Q38" s="90"/>
      <c r="R38" s="91"/>
      <c r="S38" s="105"/>
    </row>
    <row r="39" spans="1:19" x14ac:dyDescent="0.2">
      <c r="A39" s="67"/>
      <c r="B39" s="68"/>
      <c r="C39" s="69" t="s">
        <v>53</v>
      </c>
      <c r="D39" s="70"/>
      <c r="E39" s="70"/>
      <c r="F39" s="70"/>
      <c r="G39" s="70"/>
      <c r="H39" s="70"/>
      <c r="I39" s="70"/>
      <c r="J39" s="70"/>
      <c r="K39" s="71"/>
      <c r="L39" s="75"/>
      <c r="M39" s="76"/>
      <c r="N39" s="77"/>
      <c r="O39" s="35"/>
      <c r="P39" s="35"/>
      <c r="Q39" s="78"/>
      <c r="R39" s="79"/>
      <c r="S39" s="35"/>
    </row>
    <row r="40" spans="1:19" x14ac:dyDescent="0.2">
      <c r="A40" s="67"/>
      <c r="B40" s="68"/>
      <c r="C40" s="69" t="s">
        <v>54</v>
      </c>
      <c r="D40" s="70"/>
      <c r="E40" s="70"/>
      <c r="F40" s="70"/>
      <c r="G40" s="70"/>
      <c r="H40" s="70"/>
      <c r="I40" s="70"/>
      <c r="J40" s="70"/>
      <c r="K40" s="71"/>
      <c r="L40" s="72" t="s">
        <v>55</v>
      </c>
      <c r="M40" s="73"/>
      <c r="N40" s="74"/>
      <c r="O40" s="36">
        <v>0.05</v>
      </c>
      <c r="P40" s="37"/>
      <c r="Q40" s="56">
        <f>SUM(O40*2002.5*12)</f>
        <v>1201.5</v>
      </c>
      <c r="R40" s="57"/>
      <c r="S40" s="36"/>
    </row>
    <row r="41" spans="1:19" x14ac:dyDescent="0.2">
      <c r="A41" s="67"/>
      <c r="B41" s="68"/>
      <c r="C41" s="69" t="s">
        <v>56</v>
      </c>
      <c r="D41" s="70"/>
      <c r="E41" s="70"/>
      <c r="F41" s="70"/>
      <c r="G41" s="70"/>
      <c r="H41" s="70"/>
      <c r="I41" s="70"/>
      <c r="J41" s="70"/>
      <c r="K41" s="71"/>
      <c r="L41" s="72" t="s">
        <v>55</v>
      </c>
      <c r="M41" s="73"/>
      <c r="N41" s="74"/>
      <c r="O41" s="36">
        <v>0.05</v>
      </c>
      <c r="P41" s="37"/>
      <c r="Q41" s="56">
        <f t="shared" ref="Q41:Q46" si="12">SUM(O41*2002.5*12)</f>
        <v>1201.5</v>
      </c>
      <c r="R41" s="57"/>
      <c r="S41" s="36"/>
    </row>
    <row r="42" spans="1:19" x14ac:dyDescent="0.2">
      <c r="A42" s="67"/>
      <c r="B42" s="68"/>
      <c r="C42" s="69" t="s">
        <v>57</v>
      </c>
      <c r="D42" s="70"/>
      <c r="E42" s="70"/>
      <c r="F42" s="70"/>
      <c r="G42" s="70"/>
      <c r="H42" s="70"/>
      <c r="I42" s="70"/>
      <c r="J42" s="70"/>
      <c r="K42" s="71"/>
      <c r="L42" s="72" t="s">
        <v>58</v>
      </c>
      <c r="M42" s="73"/>
      <c r="N42" s="74"/>
      <c r="O42" s="36">
        <v>0.15</v>
      </c>
      <c r="P42" s="37"/>
      <c r="Q42" s="56">
        <f t="shared" si="12"/>
        <v>3604.5</v>
      </c>
      <c r="R42" s="57"/>
      <c r="S42" s="36"/>
    </row>
    <row r="43" spans="1:19" x14ac:dyDescent="0.2">
      <c r="A43" s="56"/>
      <c r="B43" s="57"/>
      <c r="C43" s="64" t="s">
        <v>59</v>
      </c>
      <c r="D43" s="65"/>
      <c r="E43" s="65"/>
      <c r="F43" s="65"/>
      <c r="G43" s="65"/>
      <c r="H43" s="65"/>
      <c r="I43" s="65"/>
      <c r="J43" s="65"/>
      <c r="K43" s="66"/>
      <c r="L43" s="72" t="s">
        <v>55</v>
      </c>
      <c r="M43" s="73"/>
      <c r="N43" s="74"/>
      <c r="O43" s="2">
        <v>0.15</v>
      </c>
      <c r="P43" s="2"/>
      <c r="Q43" s="56">
        <f t="shared" si="12"/>
        <v>3604.5</v>
      </c>
      <c r="R43" s="57"/>
      <c r="S43" s="2"/>
    </row>
    <row r="44" spans="1:19" x14ac:dyDescent="0.2">
      <c r="A44" s="56"/>
      <c r="B44" s="57"/>
      <c r="C44" s="58" t="s">
        <v>60</v>
      </c>
      <c r="D44" s="59"/>
      <c r="E44" s="59"/>
      <c r="F44" s="59"/>
      <c r="G44" s="59"/>
      <c r="H44" s="59"/>
      <c r="I44" s="59"/>
      <c r="J44" s="59"/>
      <c r="K44" s="60"/>
      <c r="L44" s="61" t="s">
        <v>61</v>
      </c>
      <c r="M44" s="62"/>
      <c r="N44" s="63"/>
      <c r="O44" s="2">
        <v>0.25</v>
      </c>
      <c r="P44" s="2"/>
      <c r="Q44" s="56">
        <f t="shared" si="12"/>
        <v>6007.5</v>
      </c>
      <c r="R44" s="57"/>
      <c r="S44" s="2"/>
    </row>
    <row r="45" spans="1:19" x14ac:dyDescent="0.2">
      <c r="A45" s="56"/>
      <c r="B45" s="57"/>
      <c r="C45" s="58" t="s">
        <v>62</v>
      </c>
      <c r="D45" s="59"/>
      <c r="E45" s="59"/>
      <c r="F45" s="59"/>
      <c r="G45" s="59"/>
      <c r="H45" s="59"/>
      <c r="I45" s="59"/>
      <c r="J45" s="59"/>
      <c r="K45" s="60"/>
      <c r="L45" s="61" t="s">
        <v>61</v>
      </c>
      <c r="M45" s="62"/>
      <c r="N45" s="63"/>
      <c r="O45" s="2">
        <v>0.1</v>
      </c>
      <c r="P45" s="38"/>
      <c r="Q45" s="56">
        <f t="shared" si="12"/>
        <v>2403</v>
      </c>
      <c r="R45" s="57"/>
      <c r="S45" s="2"/>
    </row>
    <row r="46" spans="1:19" x14ac:dyDescent="0.2">
      <c r="A46" s="56"/>
      <c r="B46" s="57"/>
      <c r="C46" s="64" t="s">
        <v>63</v>
      </c>
      <c r="D46" s="65"/>
      <c r="E46" s="65"/>
      <c r="F46" s="65"/>
      <c r="G46" s="65"/>
      <c r="H46" s="65"/>
      <c r="I46" s="65"/>
      <c r="J46" s="65"/>
      <c r="K46" s="66"/>
      <c r="L46" s="61" t="s">
        <v>61</v>
      </c>
      <c r="M46" s="62"/>
      <c r="N46" s="63"/>
      <c r="O46" s="2">
        <v>0.25</v>
      </c>
      <c r="P46" s="2"/>
      <c r="Q46" s="56">
        <f t="shared" si="12"/>
        <v>6007.5</v>
      </c>
      <c r="R46" s="57"/>
      <c r="S46" s="2"/>
    </row>
    <row r="47" spans="1:19" x14ac:dyDescent="0.2">
      <c r="E47" s="39" t="s">
        <v>64</v>
      </c>
      <c r="F47" s="40"/>
      <c r="G47" s="40"/>
      <c r="H47" s="40"/>
      <c r="I47" s="40"/>
      <c r="J47" s="40"/>
      <c r="K47" s="40"/>
      <c r="L47" s="40"/>
      <c r="M47" s="40"/>
      <c r="N47" s="40"/>
      <c r="O47" s="41">
        <f>SUM(O40:O46)</f>
        <v>1</v>
      </c>
      <c r="P47" s="42"/>
      <c r="Q47" s="56">
        <f>SUM(Q40:Q46)</f>
        <v>24030</v>
      </c>
      <c r="R47" s="57"/>
      <c r="S47" s="2"/>
    </row>
  </sheetData>
  <mergeCells count="73"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O8:O9"/>
    <mergeCell ref="A13:E13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H8:H9"/>
    <mergeCell ref="P10:Q10"/>
    <mergeCell ref="A12:D12"/>
    <mergeCell ref="F12:N12"/>
    <mergeCell ref="P12:Q12"/>
    <mergeCell ref="M8:M9"/>
    <mergeCell ref="N8:N9"/>
    <mergeCell ref="A14:E14"/>
    <mergeCell ref="F14:S14"/>
    <mergeCell ref="A15:D15"/>
    <mergeCell ref="A36:S36"/>
    <mergeCell ref="A37:B38"/>
    <mergeCell ref="C37:K38"/>
    <mergeCell ref="L37:N38"/>
    <mergeCell ref="O37:O38"/>
    <mergeCell ref="P37:P38"/>
    <mergeCell ref="Q37:R38"/>
    <mergeCell ref="R31:S31"/>
    <mergeCell ref="S37:S38"/>
    <mergeCell ref="A39:B39"/>
    <mergeCell ref="C39:K39"/>
    <mergeCell ref="L39:N39"/>
    <mergeCell ref="Q39:R39"/>
    <mergeCell ref="A41:B41"/>
    <mergeCell ref="C41:K41"/>
    <mergeCell ref="L41:N41"/>
    <mergeCell ref="Q41:R41"/>
    <mergeCell ref="A40:B40"/>
    <mergeCell ref="C40:K40"/>
    <mergeCell ref="L40:N40"/>
    <mergeCell ref="Q40:R40"/>
    <mergeCell ref="A42:B42"/>
    <mergeCell ref="C42:K42"/>
    <mergeCell ref="L42:N42"/>
    <mergeCell ref="Q42:R42"/>
    <mergeCell ref="A43:B43"/>
    <mergeCell ref="C43:K43"/>
    <mergeCell ref="L43:N43"/>
    <mergeCell ref="Q43:R43"/>
    <mergeCell ref="A44:B44"/>
    <mergeCell ref="C44:K44"/>
    <mergeCell ref="L44:N44"/>
    <mergeCell ref="Q44:R44"/>
    <mergeCell ref="Q47:R47"/>
    <mergeCell ref="A45:B45"/>
    <mergeCell ref="C45:K45"/>
    <mergeCell ref="L45:N45"/>
    <mergeCell ref="Q45:R45"/>
    <mergeCell ref="A46:B46"/>
    <mergeCell ref="C46:K46"/>
    <mergeCell ref="L46:N46"/>
    <mergeCell ref="Q46:R46"/>
  </mergeCells>
  <pageMargins left="3.125E-2" right="3.125E-2" top="6.25E-2" bottom="0.10416666666666667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2017-02-06T07:16:38Z</cp:lastPrinted>
  <dcterms:created xsi:type="dcterms:W3CDTF">2007-02-04T12:22:59Z</dcterms:created>
  <dcterms:modified xsi:type="dcterms:W3CDTF">2017-02-06T10:07:14Z</dcterms:modified>
</cp:coreProperties>
</file>