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12225" windowHeight="4815"/>
  </bookViews>
  <sheets>
    <sheet name="2016" sheetId="5" r:id="rId1"/>
  </sheets>
  <definedNames>
    <definedName name="_xlnm.Print_Area" localSheetId="0">'2016'!$A$4:$S$39</definedName>
  </definedNames>
  <calcPr calcId="145621"/>
</workbook>
</file>

<file path=xl/calcChain.xml><?xml version="1.0" encoding="utf-8"?>
<calcChain xmlns="http://schemas.openxmlformats.org/spreadsheetml/2006/main">
  <c r="B27" i="5" l="1"/>
  <c r="C27" i="5"/>
  <c r="E27" i="5"/>
  <c r="F27" i="5"/>
  <c r="O27" i="5"/>
  <c r="S27" i="5" s="1"/>
  <c r="H27" i="5"/>
  <c r="J27" i="5"/>
  <c r="K27" i="5"/>
  <c r="M27" i="5"/>
  <c r="R27" i="5"/>
  <c r="L29" i="5" l="1"/>
  <c r="I29" i="5"/>
  <c r="D29" i="5"/>
  <c r="B28" i="5" l="1"/>
  <c r="B26" i="5" l="1"/>
  <c r="C26" i="5"/>
  <c r="F26" i="5"/>
  <c r="H26" i="5"/>
  <c r="J26" i="5"/>
  <c r="K26" i="5"/>
  <c r="M26" i="5"/>
  <c r="R26" i="5"/>
  <c r="E26" i="5" l="1"/>
  <c r="O26" i="5"/>
  <c r="S26" i="5" s="1"/>
  <c r="N25" i="5"/>
  <c r="B25" i="5" l="1"/>
  <c r="C25" i="5"/>
  <c r="F25" i="5"/>
  <c r="H25" i="5"/>
  <c r="J25" i="5"/>
  <c r="K25" i="5"/>
  <c r="M25" i="5"/>
  <c r="R25" i="5"/>
  <c r="E25" i="5" l="1"/>
  <c r="O25" i="5"/>
  <c r="S25" i="5" s="1"/>
  <c r="N24" i="5"/>
  <c r="Q24" i="5" l="1"/>
  <c r="Q29" i="5" s="1"/>
  <c r="R24" i="5" l="1"/>
  <c r="M24" i="5"/>
  <c r="K24" i="5"/>
  <c r="J24" i="5"/>
  <c r="H24" i="5"/>
  <c r="F24" i="5"/>
  <c r="C24" i="5"/>
  <c r="B24" i="5"/>
  <c r="E24" i="5" l="1"/>
  <c r="O24" i="5"/>
  <c r="S24" i="5" s="1"/>
  <c r="N23" i="5"/>
  <c r="N29" i="5" s="1"/>
  <c r="P23" i="5" l="1"/>
  <c r="B23" i="5" l="1"/>
  <c r="C23" i="5"/>
  <c r="F23" i="5"/>
  <c r="H23" i="5"/>
  <c r="J23" i="5"/>
  <c r="K23" i="5"/>
  <c r="M23" i="5"/>
  <c r="R23" i="5"/>
  <c r="E23" i="5" l="1"/>
  <c r="O23" i="5"/>
  <c r="S23" i="5" s="1"/>
  <c r="R17" i="5"/>
  <c r="R18" i="5"/>
  <c r="R19" i="5"/>
  <c r="R20" i="5"/>
  <c r="R21" i="5"/>
  <c r="R22" i="5"/>
  <c r="R16" i="5"/>
  <c r="M17" i="5"/>
  <c r="M18" i="5"/>
  <c r="M19" i="5"/>
  <c r="M20" i="5"/>
  <c r="M21" i="5"/>
  <c r="M22" i="5"/>
  <c r="M16" i="5"/>
  <c r="K17" i="5"/>
  <c r="K18" i="5"/>
  <c r="K19" i="5"/>
  <c r="K20" i="5"/>
  <c r="K21" i="5"/>
  <c r="K22" i="5"/>
  <c r="K16" i="5"/>
  <c r="J17" i="5"/>
  <c r="J18" i="5"/>
  <c r="J19" i="5"/>
  <c r="J20" i="5"/>
  <c r="J21" i="5"/>
  <c r="J22" i="5"/>
  <c r="J16" i="5"/>
  <c r="F17" i="5"/>
  <c r="F18" i="5"/>
  <c r="F19" i="5"/>
  <c r="F20" i="5"/>
  <c r="F21" i="5"/>
  <c r="F22" i="5"/>
  <c r="F16" i="5"/>
  <c r="J29" i="5" l="1"/>
  <c r="M29" i="5"/>
  <c r="F29" i="5"/>
  <c r="G29" i="5"/>
  <c r="K29" i="5"/>
  <c r="R29" i="5"/>
  <c r="B22" i="5"/>
  <c r="C22" i="5"/>
  <c r="H22" i="5"/>
  <c r="O22" i="5" s="1"/>
  <c r="S22" i="5" s="1"/>
  <c r="E22" i="5" l="1"/>
  <c r="B21" i="5"/>
  <c r="C21" i="5"/>
  <c r="E21" i="5" s="1"/>
  <c r="H21" i="5"/>
  <c r="H17" i="5"/>
  <c r="H18" i="5"/>
  <c r="H19" i="5"/>
  <c r="H20" i="5"/>
  <c r="H16" i="5"/>
  <c r="H29" i="5" s="1"/>
  <c r="O21" i="5" l="1"/>
  <c r="S21" i="5" s="1"/>
  <c r="E11" i="5" l="1"/>
  <c r="B20" i="5" l="1"/>
  <c r="C20" i="5"/>
  <c r="O20" i="5"/>
  <c r="E20" i="5" l="1"/>
  <c r="S20" i="5"/>
  <c r="P19" i="5"/>
  <c r="P29" i="5" s="1"/>
  <c r="C19" i="5" l="1"/>
  <c r="B19" i="5"/>
  <c r="O19" i="5" l="1"/>
  <c r="S19" i="5" s="1"/>
  <c r="E19" i="5"/>
  <c r="R13" i="5" l="1"/>
  <c r="Q13" i="5"/>
  <c r="P13" i="5"/>
  <c r="N13" i="5"/>
  <c r="M13" i="5"/>
  <c r="K13" i="5"/>
  <c r="J13" i="5"/>
  <c r="I13" i="5"/>
  <c r="H13" i="5"/>
  <c r="G13" i="5"/>
  <c r="F13" i="5"/>
  <c r="B18" i="5"/>
  <c r="O13" i="5" l="1"/>
  <c r="S13" i="5" s="1"/>
  <c r="O18" i="5"/>
  <c r="C18" i="5"/>
  <c r="E18" i="5" s="1"/>
  <c r="S18" i="5" l="1"/>
  <c r="O11" i="5"/>
  <c r="O17" i="5"/>
  <c r="S17" i="5" s="1"/>
  <c r="O10" i="5"/>
  <c r="S10" i="5" s="1"/>
  <c r="B16" i="5"/>
  <c r="E28" i="5"/>
  <c r="C17" i="5"/>
  <c r="B17" i="5"/>
  <c r="C16" i="5"/>
  <c r="C29" i="5" s="1"/>
  <c r="E10" i="5"/>
  <c r="B29" i="5" l="1"/>
  <c r="E16" i="5"/>
  <c r="O16" i="5"/>
  <c r="O29" i="5" s="1"/>
  <c r="E17" i="5"/>
  <c r="E29" i="5" l="1"/>
  <c r="S16" i="5"/>
  <c r="S29" i="5" s="1"/>
  <c r="O54" i="5"/>
  <c r="Q53" i="5"/>
  <c r="Q52" i="5"/>
  <c r="Q51" i="5"/>
  <c r="Q50" i="5"/>
  <c r="Q49" i="5"/>
  <c r="Q48" i="5"/>
  <c r="Q47" i="5"/>
  <c r="Q46" i="5"/>
  <c r="R30" i="5" l="1"/>
  <c r="Q54" i="5"/>
  <c r="S11" i="5"/>
</calcChain>
</file>

<file path=xl/comments1.xml><?xml version="1.0" encoding="utf-8"?>
<comments xmlns="http://schemas.openxmlformats.org/spreadsheetml/2006/main">
  <authors>
    <author>User</author>
  </authors>
  <commentList>
    <comment ref="N1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5120р-огентушители в лифт</t>
        </r>
      </text>
    </comment>
    <comment ref="N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1700р- страхование лифтов</t>
        </r>
      </text>
    </comment>
    <comment ref="N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покос-2959р</t>
        </r>
      </text>
    </comment>
    <comment ref="N2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покос-2959р
500р-очистка подвала</t>
        </r>
      </text>
    </comment>
    <comment ref="N2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5962р-дезинсекция
21500р-поверка тепловычислителя</t>
        </r>
      </text>
    </comment>
    <comment ref="N2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тех.обслуживание ОДГО-1430,54р
3902р-материалы для испытание лифтов
8800р-испытание 4-х лифтов</t>
        </r>
      </text>
    </comment>
  </commentList>
</comments>
</file>

<file path=xl/sharedStrings.xml><?xml version="1.0" encoding="utf-8"?>
<sst xmlns="http://schemas.openxmlformats.org/spreadsheetml/2006/main" count="87" uniqueCount="79">
  <si>
    <t>Содержание</t>
  </si>
  <si>
    <t>ремонт</t>
  </si>
  <si>
    <t>итого</t>
  </si>
  <si>
    <t>январь</t>
  </si>
  <si>
    <t>март</t>
  </si>
  <si>
    <t>апрель</t>
  </si>
  <si>
    <t>май</t>
  </si>
  <si>
    <t>июнь</t>
  </si>
  <si>
    <t>Наименование работ</t>
  </si>
  <si>
    <t>ИТОГО</t>
  </si>
  <si>
    <t>июль</t>
  </si>
  <si>
    <t>август</t>
  </si>
  <si>
    <t>сентябрь</t>
  </si>
  <si>
    <t>октябрь</t>
  </si>
  <si>
    <t>дезинсекция</t>
  </si>
  <si>
    <t>страхование лифтов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</si>
  <si>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</si>
  <si>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</si>
  <si>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</si>
  <si>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</si>
  <si>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</si>
  <si>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</si>
  <si>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</si>
  <si>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</si>
  <si>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</si>
  <si>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</si>
  <si>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</si>
  <si>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</si>
  <si>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</si>
  <si>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</si>
  <si>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</si>
  <si>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</si>
  <si>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r>
      <rPr>
        <b/>
        <sz val="8"/>
        <rFont val="Arial Cyr"/>
        <charset val="204"/>
      </rPr>
      <t>СОДЕРЖАНИ</t>
    </r>
    <r>
      <rPr>
        <sz val="8"/>
        <rFont val="Arial Cyr"/>
        <charset val="204"/>
      </rPr>
      <t>Е,    всего</t>
    </r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</si>
  <si>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</si>
  <si>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</si>
  <si>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</si>
  <si>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</si>
  <si>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</si>
  <si>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</si>
  <si>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</si>
  <si>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</si>
  <si>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</si>
  <si>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</si>
  <si>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</si>
  <si>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</si>
  <si>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</si>
  <si>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</si>
  <si>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</si>
  <si>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</si>
  <si>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</si>
  <si>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</si>
  <si>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</si>
  <si>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</si>
  <si>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</si>
  <si>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</si>
  <si>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</si>
  <si>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</si>
  <si>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</si>
  <si>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</si>
  <si>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</si>
  <si>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</si>
  <si>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</si>
  <si>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</si>
  <si>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</si>
  <si>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</si>
  <si>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</si>
  <si>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</si>
  <si>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</si>
  <si>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Непредвиденные расходы</t>
  </si>
  <si>
    <t>Информация о доходах и расходах по дому __Горийская 1__на 2016год.</t>
  </si>
  <si>
    <t>ИТОГО:</t>
  </si>
  <si>
    <t>огнетушители в лифт</t>
  </si>
  <si>
    <t>покос</t>
  </si>
  <si>
    <t>покос (июль)</t>
  </si>
  <si>
    <t>очистка подвала</t>
  </si>
  <si>
    <t>поверка тепловычислителя</t>
  </si>
  <si>
    <t>тех.обслуживание ОДГО</t>
  </si>
  <si>
    <t>материалы для испытания лифтов</t>
  </si>
  <si>
    <t>испытания 4-х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</si>
</sst>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9" formatCode="#,##0&quot;р.&quot;"/>
    <numFmt numFmtId="170" formatCode="#,##0.00&quot;р.&quot;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name val="Arial Cyr"/>
      <charset val="204"/>
    </font>
    <font>
      <b/>
      <sz val="10"/>
      <color rgb="FFFF0000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164" fontId="2" fillId="2" borderId="4" xfId="0" applyNumberFormat="1" applyFont="1" applyFill="1" applyBorder="1" applyAlignment="1"/>
    <xf numFmtId="2" fontId="0" fillId="0" borderId="4" xfId="0" applyNumberFormat="1" applyBorder="1"/>
    <xf numFmtId="0" fontId="0" fillId="0" borderId="4" xfId="0" applyBorder="1"/>
    <xf numFmtId="4" fontId="0" fillId="0" borderId="0" xfId="0" applyNumberFormat="1"/>
    <xf numFmtId="0" fontId="0" fillId="4" borderId="4" xfId="0" applyFill="1" applyBorder="1"/>
    <xf numFmtId="0" fontId="0" fillId="0" borderId="4" xfId="0" applyBorder="1" applyAlignment="1">
      <alignment horizontal="center"/>
    </xf>
    <xf numFmtId="0" fontId="1" fillId="5" borderId="12" xfId="0" applyFont="1" applyFill="1" applyBorder="1" applyAlignment="1"/>
    <xf numFmtId="0" fontId="1" fillId="5" borderId="12" xfId="0" applyFont="1" applyFill="1" applyBorder="1" applyAlignment="1">
      <alignment wrapText="1"/>
    </xf>
    <xf numFmtId="2" fontId="5" fillId="5" borderId="12" xfId="0" applyNumberFormat="1" applyFont="1" applyFill="1" applyBorder="1" applyAlignment="1"/>
    <xf numFmtId="2" fontId="2" fillId="0" borderId="1" xfId="0" applyNumberFormat="1" applyFont="1" applyBorder="1" applyAlignment="1">
      <alignment horizontal="left" vertical="top" textRotation="90" wrapText="1"/>
    </xf>
    <xf numFmtId="0" fontId="12" fillId="5" borderId="4" xfId="0" applyNumberFormat="1" applyFont="1" applyFill="1" applyBorder="1" applyAlignment="1"/>
    <xf numFmtId="2" fontId="9" fillId="0" borderId="5" xfId="0" applyNumberFormat="1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left" wrapText="1"/>
    </xf>
    <xf numFmtId="0" fontId="13" fillId="0" borderId="5" xfId="0" applyFont="1" applyBorder="1" applyAlignment="1">
      <alignment horizontal="left"/>
    </xf>
    <xf numFmtId="2" fontId="5" fillId="0" borderId="5" xfId="0" applyNumberFormat="1" applyFont="1" applyBorder="1" applyAlignment="1">
      <alignment horizontal="left" wrapText="1"/>
    </xf>
    <xf numFmtId="2" fontId="11" fillId="0" borderId="5" xfId="0" applyNumberFormat="1" applyFont="1" applyBorder="1" applyAlignment="1">
      <alignment horizontal="center" wrapText="1"/>
    </xf>
    <xf numFmtId="0" fontId="12" fillId="5" borderId="4" xfId="0" applyNumberFormat="1" applyFont="1" applyFill="1" applyBorder="1" applyAlignment="1">
      <alignment wrapText="1"/>
    </xf>
    <xf numFmtId="2" fontId="9" fillId="0" borderId="5" xfId="0" applyNumberFormat="1" applyFont="1" applyBorder="1" applyAlignment="1">
      <alignment horizontal="center" vertical="top"/>
    </xf>
    <xf numFmtId="4" fontId="9" fillId="5" borderId="4" xfId="0" applyNumberFormat="1" applyFont="1" applyFill="1" applyBorder="1"/>
    <xf numFmtId="2" fontId="5" fillId="0" borderId="5" xfId="0" applyNumberFormat="1" applyFont="1" applyBorder="1" applyAlignment="1">
      <alignment horizontal="center" vertical="top" wrapText="1"/>
    </xf>
    <xf numFmtId="4" fontId="9" fillId="5" borderId="4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 vertical="top" wrapText="1"/>
    </xf>
    <xf numFmtId="4" fontId="2" fillId="5" borderId="4" xfId="0" applyNumberFormat="1" applyFont="1" applyFill="1" applyBorder="1"/>
    <xf numFmtId="2" fontId="1" fillId="8" borderId="2" xfId="0" applyNumberFormat="1" applyFont="1" applyFill="1" applyBorder="1" applyAlignment="1">
      <alignment horizontal="center" vertical="top" wrapText="1"/>
    </xf>
    <xf numFmtId="2" fontId="2" fillId="8" borderId="6" xfId="0" applyNumberFormat="1" applyFont="1" applyFill="1" applyBorder="1" applyAlignment="1">
      <alignment horizontal="center" vertical="top" wrapText="1"/>
    </xf>
    <xf numFmtId="2" fontId="2" fillId="8" borderId="11" xfId="0" applyNumberFormat="1" applyFont="1" applyFill="1" applyBorder="1" applyAlignment="1">
      <alignment horizontal="center" vertical="top" wrapText="1"/>
    </xf>
    <xf numFmtId="2" fontId="2" fillId="8" borderId="7" xfId="0" applyNumberFormat="1" applyFont="1" applyFill="1" applyBorder="1" applyAlignment="1">
      <alignment horizontal="center" vertical="top" wrapText="1"/>
    </xf>
    <xf numFmtId="17" fontId="9" fillId="9" borderId="4" xfId="0" applyNumberFormat="1" applyFont="1" applyFill="1" applyBorder="1" applyAlignment="1">
      <alignment horizontal="left"/>
    </xf>
    <xf numFmtId="164" fontId="2" fillId="2" borderId="4" xfId="0" applyNumberFormat="1" applyFont="1" applyFill="1" applyBorder="1"/>
    <xf numFmtId="164" fontId="2" fillId="8" borderId="4" xfId="0" applyNumberFormat="1" applyFont="1" applyFill="1" applyBorder="1"/>
    <xf numFmtId="164" fontId="2" fillId="8" borderId="5" xfId="0" applyNumberFormat="1" applyFont="1" applyFill="1" applyBorder="1"/>
    <xf numFmtId="164" fontId="2" fillId="6" borderId="4" xfId="0" applyNumberFormat="1" applyFont="1" applyFill="1" applyBorder="1"/>
    <xf numFmtId="4" fontId="2" fillId="8" borderId="4" xfId="0" applyNumberFormat="1" applyFont="1" applyFill="1" applyBorder="1"/>
    <xf numFmtId="17" fontId="9" fillId="10" borderId="4" xfId="0" applyNumberFormat="1" applyFont="1" applyFill="1" applyBorder="1" applyAlignment="1">
      <alignment horizontal="left" wrapText="1"/>
    </xf>
    <xf numFmtId="0" fontId="9" fillId="3" borderId="4" xfId="0" applyFont="1" applyFill="1" applyBorder="1"/>
    <xf numFmtId="164" fontId="2" fillId="3" borderId="4" xfId="0" applyNumberFormat="1" applyFont="1" applyFill="1" applyBorder="1"/>
    <xf numFmtId="4" fontId="5" fillId="3" borderId="4" xfId="0" applyNumberFormat="1" applyFont="1" applyFill="1" applyBorder="1"/>
    <xf numFmtId="0" fontId="0" fillId="5" borderId="4" xfId="0" applyFill="1" applyBorder="1"/>
    <xf numFmtId="0" fontId="0" fillId="5" borderId="2" xfId="0" applyFill="1" applyBorder="1"/>
    <xf numFmtId="0" fontId="0" fillId="0" borderId="2" xfId="0" applyBorder="1"/>
    <xf numFmtId="0" fontId="0" fillId="0" borderId="0" xfId="0" applyBorder="1" applyAlignment="1">
      <alignment horizontal="center"/>
    </xf>
    <xf numFmtId="2" fontId="0" fillId="0" borderId="7" xfId="0" applyNumberFormat="1" applyBorder="1"/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/>
    <xf numFmtId="0" fontId="2" fillId="0" borderId="5" xfId="0" applyFont="1" applyBorder="1" applyAlignment="1">
      <alignment horizontal="left"/>
    </xf>
    <xf numFmtId="164" fontId="2" fillId="11" borderId="4" xfId="0" applyNumberFormat="1" applyFont="1" applyFill="1" applyBorder="1"/>
    <xf numFmtId="0" fontId="9" fillId="0" borderId="0" xfId="0" applyFont="1" applyFill="1" applyBorder="1"/>
    <xf numFmtId="164" fontId="2" fillId="0" borderId="0" xfId="0" applyNumberFormat="1" applyFont="1" applyFill="1" applyBorder="1"/>
    <xf numFmtId="4" fontId="5" fillId="0" borderId="0" xfId="0" applyNumberFormat="1" applyFont="1" applyFill="1" applyBorder="1"/>
    <xf numFmtId="164" fontId="1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right" vertical="top" wrapText="1"/>
    </xf>
    <xf numFmtId="2" fontId="5" fillId="0" borderId="5" xfId="0" applyNumberFormat="1" applyFont="1" applyFill="1" applyBorder="1" applyAlignment="1">
      <alignment horizontal="right" vertical="top" wrapText="1"/>
    </xf>
    <xf numFmtId="2" fontId="5" fillId="0" borderId="4" xfId="0" applyNumberFormat="1" applyFont="1" applyFill="1" applyBorder="1" applyAlignment="1">
      <alignment vertical="top" wrapText="1"/>
    </xf>
    <xf numFmtId="2" fontId="5" fillId="0" borderId="5" xfId="0" applyNumberFormat="1" applyFont="1" applyFill="1" applyBorder="1" applyAlignment="1">
      <alignment horizontal="center" vertical="top" wrapText="1"/>
    </xf>
    <xf numFmtId="164" fontId="15" fillId="2" borderId="4" xfId="0" applyNumberFormat="1" applyFont="1" applyFill="1" applyBorder="1"/>
    <xf numFmtId="164" fontId="15" fillId="3" borderId="4" xfId="0" applyNumberFormat="1" applyFont="1" applyFill="1" applyBorder="1"/>
    <xf numFmtId="0" fontId="16" fillId="0" borderId="0" xfId="0" applyFont="1"/>
    <xf numFmtId="164" fontId="2" fillId="0" borderId="0" xfId="0" applyNumberFormat="1" applyFont="1"/>
    <xf numFmtId="169" fontId="2" fillId="0" borderId="0" xfId="0" applyNumberFormat="1" applyFont="1" applyFill="1" applyBorder="1"/>
    <xf numFmtId="169" fontId="2" fillId="0" borderId="0" xfId="0" applyNumberFormat="1" applyFont="1"/>
    <xf numFmtId="170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2" fontId="5" fillId="0" borderId="13" xfId="0" applyNumberFormat="1" applyFont="1" applyBorder="1" applyAlignment="1">
      <alignment horizontal="left" wrapText="1"/>
    </xf>
    <xf numFmtId="2" fontId="5" fillId="0" borderId="14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textRotation="90" wrapText="1"/>
    </xf>
    <xf numFmtId="2" fontId="5" fillId="0" borderId="3" xfId="0" applyNumberFormat="1" applyFont="1" applyBorder="1" applyAlignment="1">
      <alignment horizontal="left" textRotation="90" wrapText="1"/>
    </xf>
    <xf numFmtId="2" fontId="5" fillId="0" borderId="5" xfId="0" applyNumberFormat="1" applyFont="1" applyBorder="1" applyAlignment="1">
      <alignment horizontal="left" textRotation="90" wrapText="1"/>
    </xf>
    <xf numFmtId="2" fontId="11" fillId="0" borderId="1" xfId="0" applyNumberFormat="1" applyFont="1" applyBorder="1" applyAlignment="1">
      <alignment horizontal="center" wrapText="1"/>
    </xf>
    <xf numFmtId="2" fontId="11" fillId="0" borderId="3" xfId="0" applyNumberFormat="1" applyFont="1" applyBorder="1" applyAlignment="1">
      <alignment horizontal="center" wrapText="1"/>
    </xf>
    <xf numFmtId="2" fontId="11" fillId="0" borderId="5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textRotation="90" wrapText="1"/>
    </xf>
    <xf numFmtId="0" fontId="0" fillId="0" borderId="5" xfId="0" applyBorder="1" applyAlignment="1">
      <alignment horizontal="left"/>
    </xf>
    <xf numFmtId="0" fontId="1" fillId="6" borderId="2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2" fontId="9" fillId="0" borderId="1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0" fontId="0" fillId="0" borderId="5" xfId="0" applyBorder="1"/>
    <xf numFmtId="2" fontId="5" fillId="0" borderId="2" xfId="0" applyNumberFormat="1" applyFont="1" applyBorder="1" applyAlignment="1">
      <alignment horizontal="left"/>
    </xf>
    <xf numFmtId="2" fontId="5" fillId="0" borderId="7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center" wrapText="1"/>
    </xf>
    <xf numFmtId="2" fontId="1" fillId="8" borderId="2" xfId="0" applyNumberFormat="1" applyFont="1" applyFill="1" applyBorder="1" applyAlignment="1">
      <alignment horizontal="center" vertical="top" wrapText="1"/>
    </xf>
    <xf numFmtId="2" fontId="2" fillId="8" borderId="6" xfId="0" applyNumberFormat="1" applyFont="1" applyFill="1" applyBorder="1" applyAlignment="1">
      <alignment horizontal="center" vertical="top" wrapText="1"/>
    </xf>
    <xf numFmtId="2" fontId="2" fillId="8" borderId="7" xfId="0" applyNumberFormat="1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11" fillId="0" borderId="9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4" borderId="2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AE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3:S54"/>
  <sheetViews>
    <sheetView tabSelected="1" topLeftCell="A4" zoomScaleNormal="100" workbookViewId="0">
      <selection activeCell="J41" sqref="J41"/>
    </sheetView>
  </sheetViews>
  <sheetFormatPr defaultRowHeight="12.75" x14ac:dyDescent="0.2"/>
  <cols>
    <col min="1" max="1" width="6.28515625" customWidth="1"/>
    <col min="2" max="3" width="9.85546875" customWidth="1"/>
    <col min="4" max="4" width="4.85546875" customWidth="1"/>
    <col min="5" max="5" width="11.140625" customWidth="1"/>
    <col min="6" max="6" width="9.7109375" customWidth="1"/>
    <col min="7" max="7" width="10.140625" customWidth="1"/>
    <col min="8" max="8" width="9.7109375" customWidth="1"/>
    <col min="9" max="9" width="10.5703125" customWidth="1"/>
    <col min="10" max="10" width="9" customWidth="1"/>
    <col min="11" max="11" width="9.7109375" customWidth="1"/>
    <col min="12" max="12" width="5" customWidth="1"/>
    <col min="13" max="13" width="10" customWidth="1"/>
    <col min="14" max="14" width="8.85546875" customWidth="1"/>
    <col min="15" max="15" width="10.42578125" customWidth="1"/>
    <col min="16" max="16" width="9" customWidth="1"/>
    <col min="17" max="17" width="8.42578125" customWidth="1"/>
    <col min="19" max="19" width="10" customWidth="1"/>
  </cols>
  <sheetData>
    <row r="3" spans="1:19" hidden="1" x14ac:dyDescent="0.2"/>
    <row r="4" spans="1:19" ht="15.75" x14ac:dyDescent="0.25">
      <c r="A4" s="64" t="s">
        <v>69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idden="1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x14ac:dyDescent="0.2">
      <c r="A6" s="66"/>
      <c r="B6" s="67"/>
      <c r="C6" s="67"/>
      <c r="D6" s="67"/>
      <c r="E6" s="68"/>
      <c r="F6" s="69" t="s">
        <v>17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4"/>
    </row>
    <row r="7" spans="1:19" x14ac:dyDescent="0.2">
      <c r="A7" s="8"/>
      <c r="B7" s="70" t="s">
        <v>18</v>
      </c>
      <c r="C7" s="70"/>
      <c r="D7" s="70"/>
      <c r="E7" s="70"/>
      <c r="F7" s="71" t="s">
        <v>0</v>
      </c>
      <c r="G7" s="72"/>
      <c r="H7" s="72"/>
      <c r="I7" s="72"/>
      <c r="J7" s="72"/>
      <c r="K7" s="72"/>
      <c r="L7" s="72"/>
      <c r="M7" s="72"/>
      <c r="N7" s="72"/>
      <c r="O7" s="73"/>
      <c r="P7" s="74" t="s">
        <v>19</v>
      </c>
      <c r="Q7" s="75"/>
      <c r="R7" s="78" t="s">
        <v>20</v>
      </c>
      <c r="S7" s="81" t="s">
        <v>9</v>
      </c>
    </row>
    <row r="8" spans="1:19" x14ac:dyDescent="0.2">
      <c r="A8" s="9"/>
      <c r="B8" s="84" t="s">
        <v>21</v>
      </c>
      <c r="C8" s="84" t="s">
        <v>1</v>
      </c>
      <c r="D8" s="84" t="s">
        <v>22</v>
      </c>
      <c r="E8" s="93" t="s">
        <v>2</v>
      </c>
      <c r="F8" s="91" t="s">
        <v>23</v>
      </c>
      <c r="G8" s="91" t="s">
        <v>24</v>
      </c>
      <c r="H8" s="91" t="s">
        <v>25</v>
      </c>
      <c r="I8" s="91" t="s">
        <v>26</v>
      </c>
      <c r="J8" s="91" t="s">
        <v>27</v>
      </c>
      <c r="K8" s="91" t="s">
        <v>28</v>
      </c>
      <c r="L8" s="91" t="s">
        <v>29</v>
      </c>
      <c r="M8" s="91" t="s">
        <v>30</v>
      </c>
      <c r="N8" s="91" t="s">
        <v>31</v>
      </c>
      <c r="O8" s="86" t="s">
        <v>32</v>
      </c>
      <c r="P8" s="76"/>
      <c r="Q8" s="77"/>
      <c r="R8" s="79"/>
      <c r="S8" s="82"/>
    </row>
    <row r="9" spans="1:19" ht="129.75" x14ac:dyDescent="0.2">
      <c r="A9" s="10"/>
      <c r="B9" s="85"/>
      <c r="C9" s="85"/>
      <c r="D9" s="85"/>
      <c r="E9" s="94"/>
      <c r="F9" s="95"/>
      <c r="G9" s="92"/>
      <c r="H9" s="92"/>
      <c r="I9" s="92"/>
      <c r="J9" s="92"/>
      <c r="K9" s="92"/>
      <c r="L9" s="92"/>
      <c r="M9" s="92"/>
      <c r="N9" s="92"/>
      <c r="O9" s="87"/>
      <c r="P9" s="11" t="s">
        <v>33</v>
      </c>
      <c r="Q9" s="11" t="s">
        <v>34</v>
      </c>
      <c r="R9" s="80"/>
      <c r="S9" s="83"/>
    </row>
    <row r="10" spans="1:19" ht="15" x14ac:dyDescent="0.25">
      <c r="A10" s="12">
        <v>2015</v>
      </c>
      <c r="B10" s="13">
        <v>9.5</v>
      </c>
      <c r="C10" s="13">
        <v>3</v>
      </c>
      <c r="D10" s="13">
        <v>1</v>
      </c>
      <c r="E10" s="14">
        <f>B10+C10+D10</f>
        <v>13.5</v>
      </c>
      <c r="F10" s="47">
        <v>1.1100000000000001</v>
      </c>
      <c r="G10" s="15">
        <v>1.41</v>
      </c>
      <c r="H10" s="15">
        <v>1.4</v>
      </c>
      <c r="I10" s="15">
        <v>0.51</v>
      </c>
      <c r="J10" s="15">
        <v>0.89</v>
      </c>
      <c r="K10" s="15">
        <v>5.29</v>
      </c>
      <c r="L10" s="15">
        <v>0</v>
      </c>
      <c r="M10" s="15">
        <v>1.86</v>
      </c>
      <c r="N10" s="15">
        <v>0</v>
      </c>
      <c r="O10" s="16">
        <f>SUM(F10:N10)</f>
        <v>12.469999999999999</v>
      </c>
      <c r="P10" s="96">
        <v>1.1000000000000001</v>
      </c>
      <c r="Q10" s="97"/>
      <c r="R10" s="17">
        <v>0.84</v>
      </c>
      <c r="S10" s="18">
        <f>O10+P10+R10</f>
        <v>14.409999999999998</v>
      </c>
    </row>
    <row r="11" spans="1:19" ht="15" x14ac:dyDescent="0.25">
      <c r="A11" s="19">
        <v>2016</v>
      </c>
      <c r="B11" s="20">
        <v>14</v>
      </c>
      <c r="C11" s="20">
        <v>3</v>
      </c>
      <c r="D11" s="20">
        <v>1</v>
      </c>
      <c r="E11" s="21">
        <f>B11+C11+D11</f>
        <v>18</v>
      </c>
      <c r="F11" s="53">
        <v>1.1000000000000001</v>
      </c>
      <c r="G11" s="53">
        <v>1.4</v>
      </c>
      <c r="H11" s="53">
        <v>1.6</v>
      </c>
      <c r="I11" s="53">
        <v>0.5</v>
      </c>
      <c r="J11" s="53">
        <v>0.8</v>
      </c>
      <c r="K11" s="53">
        <v>5.3</v>
      </c>
      <c r="L11" s="53">
        <v>0</v>
      </c>
      <c r="M11" s="53">
        <v>1.8</v>
      </c>
      <c r="N11" s="53">
        <v>1.5</v>
      </c>
      <c r="O11" s="54">
        <f>SUM(F11:N11)</f>
        <v>14</v>
      </c>
      <c r="P11" s="55">
        <v>1.5</v>
      </c>
      <c r="Q11" s="55">
        <v>1.5</v>
      </c>
      <c r="R11" s="56">
        <v>1</v>
      </c>
      <c r="S11" s="22">
        <f>SUM(O11:R11)</f>
        <v>18</v>
      </c>
    </row>
    <row r="12" spans="1:19" ht="22.5" x14ac:dyDescent="0.2">
      <c r="A12" s="98" t="s">
        <v>35</v>
      </c>
      <c r="B12" s="98"/>
      <c r="C12" s="98"/>
      <c r="D12" s="98"/>
      <c r="E12" s="23">
        <v>7936.67</v>
      </c>
      <c r="F12" s="99" t="s">
        <v>36</v>
      </c>
      <c r="G12" s="100"/>
      <c r="H12" s="100"/>
      <c r="I12" s="100"/>
      <c r="J12" s="100"/>
      <c r="K12" s="100"/>
      <c r="L12" s="100"/>
      <c r="M12" s="100"/>
      <c r="N12" s="101"/>
      <c r="O12" s="22"/>
      <c r="P12" s="102" t="s">
        <v>37</v>
      </c>
      <c r="Q12" s="103"/>
      <c r="R12" s="22" t="s">
        <v>38</v>
      </c>
      <c r="S12" s="22"/>
    </row>
    <row r="13" spans="1:19" x14ac:dyDescent="0.2">
      <c r="A13" s="88" t="s">
        <v>39</v>
      </c>
      <c r="B13" s="89"/>
      <c r="C13" s="89"/>
      <c r="D13" s="89"/>
      <c r="E13" s="90"/>
      <c r="F13" s="24">
        <f>E12*F11</f>
        <v>8730.3370000000014</v>
      </c>
      <c r="G13" s="24">
        <f>E12*G11</f>
        <v>11111.338</v>
      </c>
      <c r="H13" s="24">
        <f>E12*H11</f>
        <v>12698.672</v>
      </c>
      <c r="I13" s="24">
        <f>E12*I11</f>
        <v>3968.335</v>
      </c>
      <c r="J13" s="24">
        <f>E12*J11</f>
        <v>6349.3360000000002</v>
      </c>
      <c r="K13" s="24">
        <f>E12*K11</f>
        <v>42064.351000000002</v>
      </c>
      <c r="L13" s="24">
        <v>0</v>
      </c>
      <c r="M13" s="24">
        <f>E12*M11</f>
        <v>14286.006000000001</v>
      </c>
      <c r="N13" s="24">
        <f>E12*N11</f>
        <v>11905.005000000001</v>
      </c>
      <c r="O13" s="24">
        <f>SUM(F13:N13)</f>
        <v>111113.38</v>
      </c>
      <c r="P13" s="24">
        <f>E12*P11</f>
        <v>11905.005000000001</v>
      </c>
      <c r="Q13" s="24">
        <f>E12*Q11</f>
        <v>11905.005000000001</v>
      </c>
      <c r="R13" s="24">
        <f>E12*R11</f>
        <v>7936.67</v>
      </c>
      <c r="S13" s="24">
        <f>O13+P13+Q13+R13</f>
        <v>142860.06000000003</v>
      </c>
    </row>
    <row r="14" spans="1:19" x14ac:dyDescent="0.2">
      <c r="A14" s="104" t="s">
        <v>40</v>
      </c>
      <c r="B14" s="104"/>
      <c r="C14" s="104"/>
      <c r="D14" s="104"/>
      <c r="E14" s="105"/>
      <c r="F14" s="106" t="s">
        <v>41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8"/>
    </row>
    <row r="15" spans="1:19" x14ac:dyDescent="0.2">
      <c r="A15" s="109" t="s">
        <v>42</v>
      </c>
      <c r="B15" s="109"/>
      <c r="C15" s="109"/>
      <c r="D15" s="110"/>
      <c r="E15" s="25">
        <v>-368085.06</v>
      </c>
      <c r="F15" s="26"/>
      <c r="G15" s="27"/>
      <c r="H15" s="28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9"/>
    </row>
    <row r="16" spans="1:19" x14ac:dyDescent="0.2">
      <c r="A16" s="30" t="s">
        <v>43</v>
      </c>
      <c r="B16" s="31">
        <f>12534.3+16415.5+523.95+11153.21+22481.56+1990.8</f>
        <v>65099.320000000007</v>
      </c>
      <c r="C16" s="31">
        <f>3245.03+6547.26+568.8+3709.8+4818.64+149.7</f>
        <v>19039.23</v>
      </c>
      <c r="D16" s="57">
        <v>0</v>
      </c>
      <c r="E16" s="2">
        <f t="shared" ref="E16:E27" si="0">B16+C16+D16</f>
        <v>84138.55</v>
      </c>
      <c r="F16" s="32">
        <f>7936.67*1.1</f>
        <v>8730.3370000000014</v>
      </c>
      <c r="G16" s="32">
        <v>9062</v>
      </c>
      <c r="H16" s="33">
        <f>7936.67*1.6</f>
        <v>12698.672</v>
      </c>
      <c r="I16" s="32">
        <v>4000</v>
      </c>
      <c r="J16" s="32">
        <f>7936.67*0.8</f>
        <v>6349.3360000000002</v>
      </c>
      <c r="K16" s="32">
        <f>7936.67*5.3</f>
        <v>42064.351000000002</v>
      </c>
      <c r="L16" s="32">
        <v>0</v>
      </c>
      <c r="M16" s="32">
        <f>7936.67*1.8</f>
        <v>14286.006000000001</v>
      </c>
      <c r="N16" s="32">
        <v>5120</v>
      </c>
      <c r="O16" s="48">
        <f t="shared" ref="O16:O27" si="1">SUM(F16:N16)</f>
        <v>102310.70199999999</v>
      </c>
      <c r="P16" s="34">
        <v>0</v>
      </c>
      <c r="Q16" s="34">
        <v>0</v>
      </c>
      <c r="R16" s="32">
        <f>7936.67*1</f>
        <v>7936.67</v>
      </c>
      <c r="S16" s="35">
        <f t="shared" ref="S16:S27" si="2">O16+P16+Q16+R16</f>
        <v>110247.37199999999</v>
      </c>
    </row>
    <row r="17" spans="1:19" x14ac:dyDescent="0.2">
      <c r="A17" s="30" t="s">
        <v>44</v>
      </c>
      <c r="B17" s="31">
        <f>20326.19+24307.65+1261.05+16540.05+22460.71+523.95</f>
        <v>85419.599999999991</v>
      </c>
      <c r="C17" s="31">
        <f>5982.29+7271.54+360.3+4854.3+8995.66+149.7</f>
        <v>27613.79</v>
      </c>
      <c r="D17" s="57">
        <v>0</v>
      </c>
      <c r="E17" s="2">
        <f t="shared" si="0"/>
        <v>113033.38999999998</v>
      </c>
      <c r="F17" s="32">
        <f t="shared" ref="F17:F27" si="3">7936.67*1.1</f>
        <v>8730.3370000000014</v>
      </c>
      <c r="G17" s="32">
        <v>9062</v>
      </c>
      <c r="H17" s="33">
        <f t="shared" ref="H17:H27" si="4">7936.67*1.6</f>
        <v>12698.672</v>
      </c>
      <c r="I17" s="32">
        <v>4000</v>
      </c>
      <c r="J17" s="32">
        <f t="shared" ref="J17:J27" si="5">7936.67*0.8</f>
        <v>6349.3360000000002</v>
      </c>
      <c r="K17" s="32">
        <f t="shared" ref="K17:K27" si="6">7936.67*5.3</f>
        <v>42064.351000000002</v>
      </c>
      <c r="L17" s="32">
        <v>0</v>
      </c>
      <c r="M17" s="32">
        <f t="shared" ref="M17:M27" si="7">7936.67*1.8</f>
        <v>14286.006000000001</v>
      </c>
      <c r="N17" s="32">
        <v>0</v>
      </c>
      <c r="O17" s="48">
        <f t="shared" si="1"/>
        <v>97190.70199999999</v>
      </c>
      <c r="P17" s="34">
        <v>0</v>
      </c>
      <c r="Q17" s="34">
        <v>0</v>
      </c>
      <c r="R17" s="32">
        <f t="shared" ref="R17:R27" si="8">7936.67*1</f>
        <v>7936.67</v>
      </c>
      <c r="S17" s="35">
        <f t="shared" si="2"/>
        <v>105127.37199999999</v>
      </c>
    </row>
    <row r="18" spans="1:19" x14ac:dyDescent="0.2">
      <c r="A18" s="30" t="s">
        <v>4</v>
      </c>
      <c r="B18" s="31">
        <f>11420.04+25484.38+729.75+12496.05+17911.33+523.95</f>
        <v>68565.5</v>
      </c>
      <c r="C18" s="31">
        <f>4404.69+7234.9+208.5</f>
        <v>11848.09</v>
      </c>
      <c r="D18" s="57">
        <v>0</v>
      </c>
      <c r="E18" s="2">
        <f t="shared" si="0"/>
        <v>80413.59</v>
      </c>
      <c r="F18" s="32">
        <f t="shared" si="3"/>
        <v>8730.3370000000014</v>
      </c>
      <c r="G18" s="32">
        <v>9062</v>
      </c>
      <c r="H18" s="33">
        <f t="shared" si="4"/>
        <v>12698.672</v>
      </c>
      <c r="I18" s="32">
        <v>4000</v>
      </c>
      <c r="J18" s="32">
        <f t="shared" si="5"/>
        <v>6349.3360000000002</v>
      </c>
      <c r="K18" s="32">
        <f t="shared" si="6"/>
        <v>42064.351000000002</v>
      </c>
      <c r="L18" s="32">
        <v>0</v>
      </c>
      <c r="M18" s="32">
        <f t="shared" si="7"/>
        <v>14286.006000000001</v>
      </c>
      <c r="N18" s="32">
        <v>0</v>
      </c>
      <c r="O18" s="48">
        <f t="shared" si="1"/>
        <v>97190.70199999999</v>
      </c>
      <c r="P18" s="34">
        <v>0</v>
      </c>
      <c r="Q18" s="34">
        <v>0</v>
      </c>
      <c r="R18" s="32">
        <f t="shared" si="8"/>
        <v>7936.67</v>
      </c>
      <c r="S18" s="35">
        <f t="shared" si="2"/>
        <v>105127.37199999999</v>
      </c>
    </row>
    <row r="19" spans="1:19" x14ac:dyDescent="0.2">
      <c r="A19" s="30" t="s">
        <v>45</v>
      </c>
      <c r="B19" s="31">
        <f>16651.76+21910.16+1395+12845.7+19326.15+523.95</f>
        <v>72652.719999999987</v>
      </c>
      <c r="C19" s="31">
        <f>3488.56+6658.1+507+3669.46+5778.9+149.7</f>
        <v>20251.719999999998</v>
      </c>
      <c r="D19" s="57">
        <v>0</v>
      </c>
      <c r="E19" s="2">
        <f t="shared" si="0"/>
        <v>92904.439999999988</v>
      </c>
      <c r="F19" s="32">
        <f t="shared" si="3"/>
        <v>8730.3370000000014</v>
      </c>
      <c r="G19" s="32">
        <v>9062</v>
      </c>
      <c r="H19" s="33">
        <f t="shared" si="4"/>
        <v>12698.672</v>
      </c>
      <c r="I19" s="32">
        <v>4000</v>
      </c>
      <c r="J19" s="32">
        <f t="shared" si="5"/>
        <v>6349.3360000000002</v>
      </c>
      <c r="K19" s="32">
        <f t="shared" si="6"/>
        <v>42064.351000000002</v>
      </c>
      <c r="L19" s="32">
        <v>0</v>
      </c>
      <c r="M19" s="32">
        <f t="shared" si="7"/>
        <v>14286.006000000001</v>
      </c>
      <c r="N19" s="32">
        <v>1700</v>
      </c>
      <c r="O19" s="48">
        <f t="shared" si="1"/>
        <v>98890.70199999999</v>
      </c>
      <c r="P19" s="34">
        <f>1605+3459</f>
        <v>5064</v>
      </c>
      <c r="Q19" s="34">
        <v>0</v>
      </c>
      <c r="R19" s="32">
        <f t="shared" si="8"/>
        <v>7936.67</v>
      </c>
      <c r="S19" s="35">
        <f t="shared" si="2"/>
        <v>111891.37199999999</v>
      </c>
    </row>
    <row r="20" spans="1:19" x14ac:dyDescent="0.2">
      <c r="A20" s="30" t="s">
        <v>6</v>
      </c>
      <c r="B20" s="31">
        <f>12148.1+20880.36+729.75+11527.35+24822.5+523.95</f>
        <v>70632.009999999995</v>
      </c>
      <c r="C20" s="31">
        <f>3728.01+5884.5+208.5+3422.1+7933.6+149.7</f>
        <v>21326.41</v>
      </c>
      <c r="D20" s="57">
        <v>0</v>
      </c>
      <c r="E20" s="2">
        <f t="shared" si="0"/>
        <v>91958.42</v>
      </c>
      <c r="F20" s="32">
        <f t="shared" si="3"/>
        <v>8730.3370000000014</v>
      </c>
      <c r="G20" s="32">
        <v>9062</v>
      </c>
      <c r="H20" s="33">
        <f t="shared" si="4"/>
        <v>12698.672</v>
      </c>
      <c r="I20" s="32">
        <v>4000</v>
      </c>
      <c r="J20" s="32">
        <f t="shared" si="5"/>
        <v>6349.3360000000002</v>
      </c>
      <c r="K20" s="32">
        <f t="shared" si="6"/>
        <v>42064.351000000002</v>
      </c>
      <c r="L20" s="32">
        <v>0</v>
      </c>
      <c r="M20" s="32">
        <f t="shared" si="7"/>
        <v>14286.006000000001</v>
      </c>
      <c r="N20" s="32">
        <v>2959</v>
      </c>
      <c r="O20" s="48">
        <f t="shared" si="1"/>
        <v>100149.70199999999</v>
      </c>
      <c r="P20" s="34">
        <v>0</v>
      </c>
      <c r="Q20" s="34">
        <v>7083</v>
      </c>
      <c r="R20" s="32">
        <f t="shared" si="8"/>
        <v>7936.67</v>
      </c>
      <c r="S20" s="35">
        <f t="shared" si="2"/>
        <v>115169.37199999999</v>
      </c>
    </row>
    <row r="21" spans="1:19" x14ac:dyDescent="0.2">
      <c r="A21" s="30" t="s">
        <v>7</v>
      </c>
      <c r="B21" s="31">
        <f>13866.64+28866.16+3587.9+12482.43+18072+523.95</f>
        <v>77399.08</v>
      </c>
      <c r="C21" s="31">
        <f>4782.71+8199.9+620.4+3694.8+5292+149.7</f>
        <v>22739.510000000002</v>
      </c>
      <c r="D21" s="57">
        <v>0</v>
      </c>
      <c r="E21" s="2">
        <f t="shared" si="0"/>
        <v>100138.59</v>
      </c>
      <c r="F21" s="32">
        <f t="shared" si="3"/>
        <v>8730.3370000000014</v>
      </c>
      <c r="G21" s="32">
        <v>9062</v>
      </c>
      <c r="H21" s="33">
        <f t="shared" si="4"/>
        <v>12698.672</v>
      </c>
      <c r="I21" s="32">
        <v>4000</v>
      </c>
      <c r="J21" s="32">
        <f t="shared" si="5"/>
        <v>6349.3360000000002</v>
      </c>
      <c r="K21" s="32">
        <f t="shared" si="6"/>
        <v>42064.351000000002</v>
      </c>
      <c r="L21" s="32">
        <v>0</v>
      </c>
      <c r="M21" s="32">
        <f t="shared" si="7"/>
        <v>14286.006000000001</v>
      </c>
      <c r="N21" s="32">
        <v>0</v>
      </c>
      <c r="O21" s="48">
        <f t="shared" si="1"/>
        <v>97190.70199999999</v>
      </c>
      <c r="P21" s="34">
        <v>2015</v>
      </c>
      <c r="Q21" s="34">
        <v>0</v>
      </c>
      <c r="R21" s="32">
        <f t="shared" si="8"/>
        <v>7936.67</v>
      </c>
      <c r="S21" s="35">
        <f t="shared" si="2"/>
        <v>107142.37199999999</v>
      </c>
    </row>
    <row r="22" spans="1:19" x14ac:dyDescent="0.2">
      <c r="A22" s="30" t="s">
        <v>10</v>
      </c>
      <c r="B22" s="31">
        <f>16203.62+20807.25+711.9+14489.67+32971.27+523.95</f>
        <v>85707.659999999989</v>
      </c>
      <c r="C22" s="31">
        <f>4437.61+6073.5+203.4+4268.7+11140.2+149.7</f>
        <v>26273.11</v>
      </c>
      <c r="D22" s="57">
        <v>0</v>
      </c>
      <c r="E22" s="2">
        <f t="shared" si="0"/>
        <v>111980.76999999999</v>
      </c>
      <c r="F22" s="32">
        <f t="shared" si="3"/>
        <v>8730.3370000000014</v>
      </c>
      <c r="G22" s="32">
        <v>9062</v>
      </c>
      <c r="H22" s="33">
        <f t="shared" si="4"/>
        <v>12698.672</v>
      </c>
      <c r="I22" s="32">
        <v>4000</v>
      </c>
      <c r="J22" s="32">
        <f t="shared" si="5"/>
        <v>6349.3360000000002</v>
      </c>
      <c r="K22" s="32">
        <f t="shared" si="6"/>
        <v>42064.351000000002</v>
      </c>
      <c r="L22" s="32">
        <v>0</v>
      </c>
      <c r="M22" s="32">
        <f t="shared" si="7"/>
        <v>14286.006000000001</v>
      </c>
      <c r="N22" s="32">
        <v>0</v>
      </c>
      <c r="O22" s="48">
        <f t="shared" si="1"/>
        <v>97190.70199999999</v>
      </c>
      <c r="P22" s="34">
        <v>0</v>
      </c>
      <c r="Q22" s="34">
        <v>0</v>
      </c>
      <c r="R22" s="32">
        <f t="shared" si="8"/>
        <v>7936.67</v>
      </c>
      <c r="S22" s="35">
        <f t="shared" si="2"/>
        <v>105127.37199999999</v>
      </c>
    </row>
    <row r="23" spans="1:19" x14ac:dyDescent="0.2">
      <c r="A23" s="30" t="s">
        <v>11</v>
      </c>
      <c r="B23" s="31">
        <f>18811.8+38806.5+2843.65+19499.95+31102.7+748.5</f>
        <v>111813.1</v>
      </c>
      <c r="C23" s="31">
        <f>3912.21+8400.3+975.6+4170.3+6171.86+149.7</f>
        <v>23779.97</v>
      </c>
      <c r="D23" s="57">
        <v>0</v>
      </c>
      <c r="E23" s="2">
        <f t="shared" si="0"/>
        <v>135593.07</v>
      </c>
      <c r="F23" s="32">
        <f t="shared" si="3"/>
        <v>8730.3370000000014</v>
      </c>
      <c r="G23" s="32">
        <v>9062</v>
      </c>
      <c r="H23" s="33">
        <f t="shared" si="4"/>
        <v>12698.672</v>
      </c>
      <c r="I23" s="32">
        <v>4000</v>
      </c>
      <c r="J23" s="32">
        <f t="shared" si="5"/>
        <v>6349.3360000000002</v>
      </c>
      <c r="K23" s="32">
        <f t="shared" si="6"/>
        <v>42064.351000000002</v>
      </c>
      <c r="L23" s="32">
        <v>0</v>
      </c>
      <c r="M23" s="32">
        <f t="shared" si="7"/>
        <v>14286.006000000001</v>
      </c>
      <c r="N23" s="32">
        <f>2959+500</f>
        <v>3459</v>
      </c>
      <c r="O23" s="48">
        <f t="shared" si="1"/>
        <v>100649.70199999999</v>
      </c>
      <c r="P23" s="34">
        <f>32756+755+15617</f>
        <v>49128</v>
      </c>
      <c r="Q23" s="34">
        <v>0</v>
      </c>
      <c r="R23" s="32">
        <f t="shared" si="8"/>
        <v>7936.67</v>
      </c>
      <c r="S23" s="35">
        <f t="shared" si="2"/>
        <v>157714.372</v>
      </c>
    </row>
    <row r="24" spans="1:19" x14ac:dyDescent="0.2">
      <c r="A24" s="30" t="s">
        <v>46</v>
      </c>
      <c r="B24" s="31">
        <f>19846.05+57218.02+1801.5+24285+27485.18+1405.64</f>
        <v>132041.39000000001</v>
      </c>
      <c r="C24" s="31">
        <f>4466.01+13570.3+360.3+4947.61+5583.4+149.7</f>
        <v>29077.319999999996</v>
      </c>
      <c r="D24" s="57">
        <v>0</v>
      </c>
      <c r="E24" s="2">
        <f t="shared" si="0"/>
        <v>161118.71000000002</v>
      </c>
      <c r="F24" s="32">
        <f t="shared" si="3"/>
        <v>8730.3370000000014</v>
      </c>
      <c r="G24" s="32">
        <v>9062</v>
      </c>
      <c r="H24" s="33">
        <f t="shared" si="4"/>
        <v>12698.672</v>
      </c>
      <c r="I24" s="32">
        <v>4000</v>
      </c>
      <c r="J24" s="32">
        <f t="shared" si="5"/>
        <v>6349.3360000000002</v>
      </c>
      <c r="K24" s="32">
        <f t="shared" si="6"/>
        <v>42064.351000000002</v>
      </c>
      <c r="L24" s="32">
        <v>0</v>
      </c>
      <c r="M24" s="32">
        <f t="shared" si="7"/>
        <v>14286.006000000001</v>
      </c>
      <c r="N24" s="32">
        <f>5962+21500</f>
        <v>27462</v>
      </c>
      <c r="O24" s="48">
        <f t="shared" si="1"/>
        <v>124652.70199999999</v>
      </c>
      <c r="P24" s="34">
        <v>0</v>
      </c>
      <c r="Q24" s="34">
        <f>511+5100</f>
        <v>5611</v>
      </c>
      <c r="R24" s="32">
        <f t="shared" si="8"/>
        <v>7936.67</v>
      </c>
      <c r="S24" s="35">
        <f t="shared" si="2"/>
        <v>138200.372</v>
      </c>
    </row>
    <row r="25" spans="1:19" x14ac:dyDescent="0.2">
      <c r="A25" s="30" t="s">
        <v>47</v>
      </c>
      <c r="B25" s="31">
        <f>22738.05+27717+2034+20187+30868.85+4428.46</f>
        <v>107973.36</v>
      </c>
      <c r="C25" s="31">
        <f>4846.71+5633.4+406.8+4217.17+6447.6+1247.7</f>
        <v>22799.38</v>
      </c>
      <c r="D25" s="57">
        <v>0</v>
      </c>
      <c r="E25" s="2">
        <f t="shared" si="0"/>
        <v>130772.74</v>
      </c>
      <c r="F25" s="32">
        <f t="shared" si="3"/>
        <v>8730.3370000000014</v>
      </c>
      <c r="G25" s="32">
        <v>9062</v>
      </c>
      <c r="H25" s="33">
        <f t="shared" si="4"/>
        <v>12698.672</v>
      </c>
      <c r="I25" s="32">
        <v>4000</v>
      </c>
      <c r="J25" s="32">
        <f t="shared" si="5"/>
        <v>6349.3360000000002</v>
      </c>
      <c r="K25" s="32">
        <f t="shared" si="6"/>
        <v>42064.351000000002</v>
      </c>
      <c r="L25" s="32">
        <v>0</v>
      </c>
      <c r="M25" s="32">
        <f t="shared" si="7"/>
        <v>14286.006000000001</v>
      </c>
      <c r="N25" s="32">
        <f>1430.54+12702</f>
        <v>14132.54</v>
      </c>
      <c r="O25" s="48">
        <f t="shared" si="1"/>
        <v>111323.242</v>
      </c>
      <c r="P25" s="34">
        <v>541</v>
      </c>
      <c r="Q25" s="34">
        <v>0</v>
      </c>
      <c r="R25" s="32">
        <f t="shared" si="8"/>
        <v>7936.67</v>
      </c>
      <c r="S25" s="35">
        <f t="shared" si="2"/>
        <v>119800.912</v>
      </c>
    </row>
    <row r="26" spans="1:19" x14ac:dyDescent="0.2">
      <c r="A26" s="30" t="s">
        <v>48</v>
      </c>
      <c r="B26" s="31">
        <f>17837.55+33946.5+2844+19366.5+46427.74+748.5</f>
        <v>121170.79000000001</v>
      </c>
      <c r="C26" s="31">
        <f>4743.06+6879.3+568.8+3962.92+10408.5+149.7</f>
        <v>26712.280000000002</v>
      </c>
      <c r="D26" s="57">
        <v>0</v>
      </c>
      <c r="E26" s="2">
        <f t="shared" si="0"/>
        <v>147883.07</v>
      </c>
      <c r="F26" s="32">
        <f t="shared" si="3"/>
        <v>8730.3370000000014</v>
      </c>
      <c r="G26" s="32">
        <v>9062</v>
      </c>
      <c r="H26" s="33">
        <f t="shared" si="4"/>
        <v>12698.672</v>
      </c>
      <c r="I26" s="32">
        <v>4000</v>
      </c>
      <c r="J26" s="32">
        <f t="shared" si="5"/>
        <v>6349.3360000000002</v>
      </c>
      <c r="K26" s="32">
        <f t="shared" si="6"/>
        <v>42064.351000000002</v>
      </c>
      <c r="L26" s="32">
        <v>0</v>
      </c>
      <c r="M26" s="32">
        <f t="shared" si="7"/>
        <v>14286.006000000001</v>
      </c>
      <c r="N26" s="32">
        <v>0</v>
      </c>
      <c r="O26" s="48">
        <f t="shared" si="1"/>
        <v>97190.70199999999</v>
      </c>
      <c r="P26" s="34">
        <v>2156</v>
      </c>
      <c r="Q26" s="34">
        <v>0</v>
      </c>
      <c r="R26" s="32">
        <f t="shared" si="8"/>
        <v>7936.67</v>
      </c>
      <c r="S26" s="35">
        <f t="shared" si="2"/>
        <v>107283.37199999999</v>
      </c>
    </row>
    <row r="27" spans="1:19" x14ac:dyDescent="0.2">
      <c r="A27" s="30" t="s">
        <v>49</v>
      </c>
      <c r="B27" s="31">
        <f>21763.05+36124.5+1681.5+17446.5+33207+748.5</f>
        <v>110971.05</v>
      </c>
      <c r="C27" s="31">
        <f>4143.51+7314.9+426.3+3489.3+6821.92+149.7</f>
        <v>22345.63</v>
      </c>
      <c r="D27" s="57">
        <v>0</v>
      </c>
      <c r="E27" s="2">
        <f t="shared" si="0"/>
        <v>133316.68</v>
      </c>
      <c r="F27" s="32">
        <f t="shared" si="3"/>
        <v>8730.3370000000014</v>
      </c>
      <c r="G27" s="32">
        <v>9062</v>
      </c>
      <c r="H27" s="33">
        <f t="shared" si="4"/>
        <v>12698.672</v>
      </c>
      <c r="I27" s="32">
        <v>4000</v>
      </c>
      <c r="J27" s="32">
        <f t="shared" si="5"/>
        <v>6349.3360000000002</v>
      </c>
      <c r="K27" s="32">
        <f t="shared" si="6"/>
        <v>42064.351000000002</v>
      </c>
      <c r="L27" s="32">
        <v>0</v>
      </c>
      <c r="M27" s="32">
        <f t="shared" si="7"/>
        <v>14286.006000000001</v>
      </c>
      <c r="N27" s="32">
        <v>0</v>
      </c>
      <c r="O27" s="48">
        <f t="shared" si="1"/>
        <v>97190.70199999999</v>
      </c>
      <c r="P27" s="34">
        <v>8570</v>
      </c>
      <c r="Q27" s="34">
        <v>0</v>
      </c>
      <c r="R27" s="32">
        <f t="shared" si="8"/>
        <v>7936.67</v>
      </c>
      <c r="S27" s="35">
        <f t="shared" si="2"/>
        <v>113697.37199999999</v>
      </c>
    </row>
    <row r="28" spans="1:19" ht="24" x14ac:dyDescent="0.2">
      <c r="A28" s="36" t="s">
        <v>50</v>
      </c>
      <c r="B28" s="31">
        <f>1800+1800+3600+3600</f>
        <v>10800</v>
      </c>
      <c r="C28" s="31">
        <v>0</v>
      </c>
      <c r="D28" s="57">
        <v>0</v>
      </c>
      <c r="E28" s="31">
        <f>B28+C28+D28</f>
        <v>10800</v>
      </c>
      <c r="F28" s="32"/>
      <c r="G28" s="32"/>
      <c r="H28" s="32"/>
      <c r="I28" s="32"/>
      <c r="J28" s="32"/>
      <c r="K28" s="32"/>
      <c r="L28" s="32"/>
      <c r="M28" s="32"/>
      <c r="N28" s="32"/>
      <c r="O28" s="48"/>
      <c r="P28" s="34"/>
      <c r="Q28" s="34"/>
      <c r="R28" s="32"/>
      <c r="S28" s="35"/>
    </row>
    <row r="29" spans="1:19" x14ac:dyDescent="0.2">
      <c r="A29" s="37" t="s">
        <v>2</v>
      </c>
      <c r="B29" s="58">
        <f>SUM(B16:B28)</f>
        <v>1120245.58</v>
      </c>
      <c r="C29" s="38">
        <f>SUM(C16:C28)</f>
        <v>273806.44</v>
      </c>
      <c r="D29" s="58">
        <f>SUM(D16:D28)</f>
        <v>0</v>
      </c>
      <c r="E29" s="38">
        <f>SUM(E15:E28)</f>
        <v>1025966.96</v>
      </c>
      <c r="F29" s="38">
        <f t="shared" ref="F29:S29" si="9">SUM(F16:F28)</f>
        <v>104764.04400000001</v>
      </c>
      <c r="G29" s="38">
        <f t="shared" si="9"/>
        <v>108744</v>
      </c>
      <c r="H29" s="38">
        <f t="shared" si="9"/>
        <v>152384.06400000001</v>
      </c>
      <c r="I29" s="38">
        <f t="shared" si="9"/>
        <v>48000</v>
      </c>
      <c r="J29" s="38">
        <f t="shared" si="9"/>
        <v>76192.032000000007</v>
      </c>
      <c r="K29" s="38">
        <f t="shared" si="9"/>
        <v>504772.21200000012</v>
      </c>
      <c r="L29" s="38">
        <f t="shared" si="9"/>
        <v>0</v>
      </c>
      <c r="M29" s="38">
        <f t="shared" si="9"/>
        <v>171432.07199999996</v>
      </c>
      <c r="N29" s="38">
        <f t="shared" si="9"/>
        <v>54832.54</v>
      </c>
      <c r="O29" s="58">
        <f t="shared" si="9"/>
        <v>1221120.9639999999</v>
      </c>
      <c r="P29" s="38">
        <f t="shared" si="9"/>
        <v>67474</v>
      </c>
      <c r="Q29" s="58">
        <f t="shared" si="9"/>
        <v>12694</v>
      </c>
      <c r="R29" s="38">
        <f t="shared" si="9"/>
        <v>95240.04</v>
      </c>
      <c r="S29" s="39">
        <f t="shared" si="9"/>
        <v>1396529.004</v>
      </c>
    </row>
    <row r="30" spans="1:19" x14ac:dyDescent="0.2">
      <c r="A30" s="49"/>
      <c r="B30" s="50" t="s">
        <v>3</v>
      </c>
      <c r="C30" s="61">
        <v>5120</v>
      </c>
      <c r="D30" s="50" t="s">
        <v>71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2" t="s">
        <v>70</v>
      </c>
      <c r="R30" s="122">
        <f>E29-S29</f>
        <v>-370562.04399999999</v>
      </c>
      <c r="S30" s="122"/>
    </row>
    <row r="31" spans="1:19" x14ac:dyDescent="0.2">
      <c r="A31" s="49"/>
      <c r="B31" s="50" t="s">
        <v>5</v>
      </c>
      <c r="C31" s="61">
        <v>1700</v>
      </c>
      <c r="D31" s="50" t="s">
        <v>15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</row>
    <row r="32" spans="1:19" x14ac:dyDescent="0.2">
      <c r="B32" s="1" t="s">
        <v>6</v>
      </c>
      <c r="C32" s="62">
        <v>2959</v>
      </c>
      <c r="D32" s="1" t="s">
        <v>72</v>
      </c>
    </row>
    <row r="33" spans="1:19" x14ac:dyDescent="0.2">
      <c r="B33" s="1" t="s">
        <v>11</v>
      </c>
      <c r="C33" s="62">
        <v>2959</v>
      </c>
      <c r="D33" s="1" t="s">
        <v>73</v>
      </c>
      <c r="K33" s="59"/>
      <c r="O33" s="63"/>
      <c r="P33" s="5"/>
    </row>
    <row r="34" spans="1:19" x14ac:dyDescent="0.2">
      <c r="B34" s="1"/>
      <c r="C34" s="62">
        <v>500</v>
      </c>
      <c r="D34" s="1" t="s">
        <v>74</v>
      </c>
    </row>
    <row r="35" spans="1:19" x14ac:dyDescent="0.2">
      <c r="B35" s="1" t="s">
        <v>12</v>
      </c>
      <c r="C35" s="62">
        <v>5962</v>
      </c>
      <c r="D35" s="1" t="s">
        <v>14</v>
      </c>
    </row>
    <row r="36" spans="1:19" x14ac:dyDescent="0.2">
      <c r="B36" s="1"/>
      <c r="C36" s="62">
        <v>21500</v>
      </c>
      <c r="D36" s="1" t="s">
        <v>75</v>
      </c>
    </row>
    <row r="37" spans="1:19" x14ac:dyDescent="0.2">
      <c r="B37" s="1" t="s">
        <v>13</v>
      </c>
      <c r="C37" s="62">
        <v>1430.54</v>
      </c>
      <c r="D37" s="1" t="s">
        <v>76</v>
      </c>
    </row>
    <row r="38" spans="1:19" x14ac:dyDescent="0.2">
      <c r="B38" s="1"/>
      <c r="C38" s="62">
        <v>3902</v>
      </c>
      <c r="D38" s="1" t="s">
        <v>77</v>
      </c>
    </row>
    <row r="39" spans="1:19" x14ac:dyDescent="0.2">
      <c r="B39" s="1"/>
      <c r="C39" s="62">
        <v>8800</v>
      </c>
      <c r="D39" s="1" t="s">
        <v>78</v>
      </c>
    </row>
    <row r="40" spans="1:19" x14ac:dyDescent="0.2">
      <c r="B40" s="1"/>
      <c r="C40" s="60"/>
      <c r="D40" s="1"/>
    </row>
    <row r="41" spans="1:19" x14ac:dyDescent="0.2">
      <c r="B41" s="1"/>
      <c r="C41" s="1"/>
      <c r="D41" s="1"/>
      <c r="I41" s="59"/>
      <c r="J41" s="59"/>
    </row>
    <row r="42" spans="1:19" ht="15" x14ac:dyDescent="0.25">
      <c r="A42" s="111" t="s">
        <v>51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  <row r="43" spans="1:19" x14ac:dyDescent="0.2">
      <c r="A43" s="112" t="s">
        <v>52</v>
      </c>
      <c r="B43" s="112"/>
      <c r="C43" s="113" t="s">
        <v>8</v>
      </c>
      <c r="D43" s="113"/>
      <c r="E43" s="113"/>
      <c r="F43" s="113"/>
      <c r="G43" s="113"/>
      <c r="H43" s="113"/>
      <c r="I43" s="113"/>
      <c r="J43" s="113"/>
      <c r="K43" s="113"/>
      <c r="L43" s="114" t="s">
        <v>53</v>
      </c>
      <c r="M43" s="115"/>
      <c r="N43" s="116"/>
      <c r="O43" s="112" t="s">
        <v>54</v>
      </c>
      <c r="P43" s="120"/>
      <c r="Q43" s="112" t="s">
        <v>55</v>
      </c>
      <c r="R43" s="112"/>
      <c r="S43" s="120" t="s">
        <v>56</v>
      </c>
    </row>
    <row r="44" spans="1:19" x14ac:dyDescent="0.2">
      <c r="A44" s="112"/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117"/>
      <c r="M44" s="118"/>
      <c r="N44" s="119"/>
      <c r="O44" s="112"/>
      <c r="P44" s="121"/>
      <c r="Q44" s="112"/>
      <c r="R44" s="112"/>
      <c r="S44" s="121"/>
    </row>
    <row r="45" spans="1:19" x14ac:dyDescent="0.2">
      <c r="A45" s="130"/>
      <c r="B45" s="131"/>
      <c r="C45" s="123" t="s">
        <v>57</v>
      </c>
      <c r="D45" s="124"/>
      <c r="E45" s="124"/>
      <c r="F45" s="124"/>
      <c r="G45" s="124"/>
      <c r="H45" s="124"/>
      <c r="I45" s="124"/>
      <c r="J45" s="124"/>
      <c r="K45" s="125"/>
      <c r="L45" s="126"/>
      <c r="M45" s="127"/>
      <c r="N45" s="128"/>
      <c r="O45" s="6"/>
      <c r="P45" s="6"/>
      <c r="Q45" s="129"/>
      <c r="R45" s="129"/>
      <c r="S45" s="6"/>
    </row>
    <row r="46" spans="1:19" x14ac:dyDescent="0.2">
      <c r="A46" s="130"/>
      <c r="B46" s="131"/>
      <c r="C46" s="123" t="s">
        <v>58</v>
      </c>
      <c r="D46" s="124"/>
      <c r="E46" s="124"/>
      <c r="F46" s="124"/>
      <c r="G46" s="124"/>
      <c r="H46" s="124"/>
      <c r="I46" s="124"/>
      <c r="J46" s="124"/>
      <c r="K46" s="125"/>
      <c r="L46" s="132" t="s">
        <v>59</v>
      </c>
      <c r="M46" s="133"/>
      <c r="N46" s="134"/>
      <c r="O46" s="40">
        <v>0.05</v>
      </c>
      <c r="P46" s="41"/>
      <c r="Q46" s="69">
        <f>SUM(O46*2487*12)</f>
        <v>1492.2</v>
      </c>
      <c r="R46" s="69"/>
      <c r="S46" s="40"/>
    </row>
    <row r="47" spans="1:19" x14ac:dyDescent="0.2">
      <c r="A47" s="130"/>
      <c r="B47" s="131"/>
      <c r="C47" s="123" t="s">
        <v>60</v>
      </c>
      <c r="D47" s="124"/>
      <c r="E47" s="124"/>
      <c r="F47" s="124"/>
      <c r="G47" s="124"/>
      <c r="H47" s="124"/>
      <c r="I47" s="124"/>
      <c r="J47" s="124"/>
      <c r="K47" s="125"/>
      <c r="L47" s="132" t="s">
        <v>59</v>
      </c>
      <c r="M47" s="133"/>
      <c r="N47" s="134"/>
      <c r="O47" s="40">
        <v>0.05</v>
      </c>
      <c r="P47" s="41"/>
      <c r="Q47" s="69">
        <f t="shared" ref="Q47:Q53" si="10">SUM(O47*2487*12)</f>
        <v>1492.2</v>
      </c>
      <c r="R47" s="69"/>
      <c r="S47" s="40"/>
    </row>
    <row r="48" spans="1:19" x14ac:dyDescent="0.2">
      <c r="A48" s="130"/>
      <c r="B48" s="131"/>
      <c r="C48" s="123" t="s">
        <v>61</v>
      </c>
      <c r="D48" s="124"/>
      <c r="E48" s="124"/>
      <c r="F48" s="124"/>
      <c r="G48" s="124"/>
      <c r="H48" s="124"/>
      <c r="I48" s="124"/>
      <c r="J48" s="124"/>
      <c r="K48" s="125"/>
      <c r="L48" s="132" t="s">
        <v>62</v>
      </c>
      <c r="M48" s="133"/>
      <c r="N48" s="134"/>
      <c r="O48" s="40">
        <v>0.15</v>
      </c>
      <c r="P48" s="41"/>
      <c r="Q48" s="69">
        <f t="shared" si="10"/>
        <v>4476.6000000000004</v>
      </c>
      <c r="R48" s="69"/>
      <c r="S48" s="40"/>
    </row>
    <row r="49" spans="1:19" x14ac:dyDescent="0.2">
      <c r="A49" s="135"/>
      <c r="B49" s="68"/>
      <c r="C49" s="136" t="s">
        <v>63</v>
      </c>
      <c r="D49" s="137"/>
      <c r="E49" s="137"/>
      <c r="F49" s="137"/>
      <c r="G49" s="137"/>
      <c r="H49" s="137"/>
      <c r="I49" s="137"/>
      <c r="J49" s="137"/>
      <c r="K49" s="138"/>
      <c r="L49" s="132" t="s">
        <v>59</v>
      </c>
      <c r="M49" s="133"/>
      <c r="N49" s="134"/>
      <c r="O49" s="4">
        <v>0.15</v>
      </c>
      <c r="P49" s="4"/>
      <c r="Q49" s="69">
        <f t="shared" si="10"/>
        <v>4476.6000000000004</v>
      </c>
      <c r="R49" s="69"/>
      <c r="S49" s="4"/>
    </row>
    <row r="50" spans="1:19" x14ac:dyDescent="0.2">
      <c r="A50" s="69"/>
      <c r="B50" s="69"/>
      <c r="C50" s="139" t="s">
        <v>64</v>
      </c>
      <c r="D50" s="140"/>
      <c r="E50" s="140"/>
      <c r="F50" s="140"/>
      <c r="G50" s="140"/>
      <c r="H50" s="140"/>
      <c r="I50" s="140"/>
      <c r="J50" s="140"/>
      <c r="K50" s="141"/>
      <c r="L50" s="142" t="s">
        <v>65</v>
      </c>
      <c r="M50" s="143"/>
      <c r="N50" s="144"/>
      <c r="O50" s="4">
        <v>0.25</v>
      </c>
      <c r="P50" s="4"/>
      <c r="Q50" s="69">
        <f t="shared" si="10"/>
        <v>7461</v>
      </c>
      <c r="R50" s="69"/>
      <c r="S50" s="4"/>
    </row>
    <row r="51" spans="1:19" x14ac:dyDescent="0.2">
      <c r="A51" s="135"/>
      <c r="B51" s="68"/>
      <c r="C51" s="139" t="s">
        <v>66</v>
      </c>
      <c r="D51" s="140"/>
      <c r="E51" s="140"/>
      <c r="F51" s="140"/>
      <c r="G51" s="140"/>
      <c r="H51" s="140"/>
      <c r="I51" s="140"/>
      <c r="J51" s="140"/>
      <c r="K51" s="141"/>
      <c r="L51" s="142" t="s">
        <v>65</v>
      </c>
      <c r="M51" s="143"/>
      <c r="N51" s="144"/>
      <c r="O51" s="4">
        <v>0.1</v>
      </c>
      <c r="P51" s="42"/>
      <c r="Q51" s="69">
        <f t="shared" si="10"/>
        <v>2984.4</v>
      </c>
      <c r="R51" s="69"/>
      <c r="S51" s="4"/>
    </row>
    <row r="52" spans="1:19" x14ac:dyDescent="0.2">
      <c r="A52" s="69"/>
      <c r="B52" s="69"/>
      <c r="C52" s="136" t="s">
        <v>67</v>
      </c>
      <c r="D52" s="137"/>
      <c r="E52" s="137"/>
      <c r="F52" s="137"/>
      <c r="G52" s="137"/>
      <c r="H52" s="137"/>
      <c r="I52" s="137"/>
      <c r="J52" s="137"/>
      <c r="K52" s="138"/>
      <c r="L52" s="142" t="s">
        <v>65</v>
      </c>
      <c r="M52" s="143"/>
      <c r="N52" s="144"/>
      <c r="O52" s="4">
        <v>0.25</v>
      </c>
      <c r="P52" s="4"/>
      <c r="Q52" s="69">
        <f t="shared" si="10"/>
        <v>7461</v>
      </c>
      <c r="R52" s="69"/>
      <c r="S52" s="4"/>
    </row>
    <row r="53" spans="1:19" x14ac:dyDescent="0.2">
      <c r="A53" s="43"/>
      <c r="B53" s="7"/>
      <c r="C53" s="149" t="s">
        <v>68</v>
      </c>
      <c r="D53" s="149"/>
      <c r="E53" s="149"/>
      <c r="F53" s="149"/>
      <c r="G53" s="149"/>
      <c r="H53" s="149"/>
      <c r="I53" s="149"/>
      <c r="J53" s="149"/>
      <c r="K53" s="149"/>
      <c r="L53" s="132" t="s">
        <v>59</v>
      </c>
      <c r="M53" s="133"/>
      <c r="N53" s="134"/>
      <c r="O53" s="3">
        <v>1</v>
      </c>
      <c r="P53" s="44"/>
      <c r="Q53" s="69">
        <f t="shared" si="10"/>
        <v>29844</v>
      </c>
      <c r="R53" s="69"/>
      <c r="S53" s="4"/>
    </row>
    <row r="54" spans="1:19" x14ac:dyDescent="0.2">
      <c r="E54" s="145" t="s">
        <v>16</v>
      </c>
      <c r="F54" s="146"/>
      <c r="G54" s="146"/>
      <c r="H54" s="146"/>
      <c r="I54" s="146"/>
      <c r="J54" s="146"/>
      <c r="K54" s="146"/>
      <c r="L54" s="146"/>
      <c r="M54" s="146"/>
      <c r="N54" s="147"/>
      <c r="O54" s="45">
        <f>SUM(O46:O53)</f>
        <v>2</v>
      </c>
      <c r="P54" s="46"/>
      <c r="Q54" s="148">
        <f>SUM(Q46:Q53)</f>
        <v>59688</v>
      </c>
      <c r="R54" s="148"/>
      <c r="S54" s="4"/>
    </row>
  </sheetData>
  <mergeCells count="77">
    <mergeCell ref="E54:N54"/>
    <mergeCell ref="Q54:R54"/>
    <mergeCell ref="A52:B52"/>
    <mergeCell ref="C52:K52"/>
    <mergeCell ref="L52:N52"/>
    <mergeCell ref="Q52:R52"/>
    <mergeCell ref="C53:K53"/>
    <mergeCell ref="L53:N53"/>
    <mergeCell ref="Q53:R53"/>
    <mergeCell ref="A50:B50"/>
    <mergeCell ref="C50:K50"/>
    <mergeCell ref="L50:N50"/>
    <mergeCell ref="Q50:R50"/>
    <mergeCell ref="A51:B51"/>
    <mergeCell ref="C51:K51"/>
    <mergeCell ref="L51:N51"/>
    <mergeCell ref="Q51:R51"/>
    <mergeCell ref="A48:B48"/>
    <mergeCell ref="C48:K48"/>
    <mergeCell ref="L48:N48"/>
    <mergeCell ref="Q48:R48"/>
    <mergeCell ref="A49:B49"/>
    <mergeCell ref="C49:K49"/>
    <mergeCell ref="L49:N49"/>
    <mergeCell ref="Q49:R49"/>
    <mergeCell ref="C45:K45"/>
    <mergeCell ref="L45:N45"/>
    <mergeCell ref="Q45:R45"/>
    <mergeCell ref="A47:B47"/>
    <mergeCell ref="C47:K47"/>
    <mergeCell ref="L47:N47"/>
    <mergeCell ref="Q47:R47"/>
    <mergeCell ref="A46:B46"/>
    <mergeCell ref="C46:K46"/>
    <mergeCell ref="L46:N46"/>
    <mergeCell ref="Q46:R46"/>
    <mergeCell ref="A45:B45"/>
    <mergeCell ref="A14:E14"/>
    <mergeCell ref="F14:S14"/>
    <mergeCell ref="A15:D15"/>
    <mergeCell ref="A42:S42"/>
    <mergeCell ref="A43:B44"/>
    <mergeCell ref="C43:K44"/>
    <mergeCell ref="L43:N44"/>
    <mergeCell ref="O43:O44"/>
    <mergeCell ref="P43:P44"/>
    <mergeCell ref="Q43:R44"/>
    <mergeCell ref="S43:S44"/>
    <mergeCell ref="R30:S30"/>
    <mergeCell ref="P10:Q10"/>
    <mergeCell ref="A12:D12"/>
    <mergeCell ref="F12:N12"/>
    <mergeCell ref="P12:Q12"/>
    <mergeCell ref="M8:M9"/>
    <mergeCell ref="N8:N9"/>
    <mergeCell ref="A13:E13"/>
    <mergeCell ref="I8:I9"/>
    <mergeCell ref="J8:J9"/>
    <mergeCell ref="K8:K9"/>
    <mergeCell ref="L8:L9"/>
    <mergeCell ref="C8:C9"/>
    <mergeCell ref="D8:D9"/>
    <mergeCell ref="E8:E9"/>
    <mergeCell ref="F8:F9"/>
    <mergeCell ref="G8:G9"/>
    <mergeCell ref="H8:H9"/>
    <mergeCell ref="A4:S4"/>
    <mergeCell ref="A5:S5"/>
    <mergeCell ref="A6:E6"/>
    <mergeCell ref="F6:R6"/>
    <mergeCell ref="B7:E7"/>
    <mergeCell ref="F7:O7"/>
    <mergeCell ref="P7:Q8"/>
    <mergeCell ref="R7:R9"/>
    <mergeCell ref="S7:S9"/>
    <mergeCell ref="B8:B9"/>
    <mergeCell ref="O8:O9"/>
  </mergeCells>
  <pageMargins left="5.2083333333333336E-2" right="2.0833333333333332E-2" top="8.3333333333333329E-2" bottom="9.375E-2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2017-02-03T07:53:08Z</cp:lastPrinted>
  <dcterms:created xsi:type="dcterms:W3CDTF">2007-02-04T12:22:59Z</dcterms:created>
  <dcterms:modified xsi:type="dcterms:W3CDTF">2017-03-10T04:21:21Z</dcterms:modified>
</cp:coreProperties>
</file>