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ГОТОВО ГОТОВО\РАЗНОСКА 2017\"/>
    </mc:Choice>
  </mc:AlternateContent>
  <bookViews>
    <workbookView xWindow="240" yWindow="405" windowWidth="12225" windowHeight="4695"/>
  </bookViews>
  <sheets>
    <sheet name="2017" sheetId="7" r:id="rId1"/>
  </sheets>
  <definedNames>
    <definedName name="_xlnm.Print_Area" localSheetId="0">'2017'!$A$1:$T$38</definedName>
  </definedNames>
  <calcPr calcId="162913" refMode="R1C1"/>
</workbook>
</file>

<file path=xl/calcChain.xml><?xml version="1.0" encoding="utf-8"?>
<calcChain xmlns="http://schemas.openxmlformats.org/spreadsheetml/2006/main">
  <c r="D26" i="7" l="1"/>
  <c r="F26" i="7"/>
  <c r="H26" i="7"/>
  <c r="J26" i="7"/>
  <c r="M26" i="7"/>
  <c r="N26" i="7"/>
  <c r="R26" i="7"/>
  <c r="T26" i="7"/>
  <c r="N25" i="7"/>
  <c r="D25" i="7" l="1"/>
  <c r="Q28" i="7"/>
  <c r="I28" i="7"/>
  <c r="G28" i="7"/>
  <c r="D27" i="7"/>
  <c r="R25" i="7"/>
  <c r="M25" i="7"/>
  <c r="J25" i="7"/>
  <c r="H25" i="7"/>
  <c r="F25" i="7"/>
  <c r="T25" i="7" l="1"/>
  <c r="F24" i="7" l="1"/>
  <c r="H24" i="7"/>
  <c r="J24" i="7"/>
  <c r="M24" i="7"/>
  <c r="R24" i="7"/>
  <c r="T24" i="7" l="1"/>
  <c r="I33" i="7"/>
  <c r="S22" i="7" s="1"/>
  <c r="O23" i="7" l="1"/>
  <c r="P22" i="7" l="1"/>
  <c r="N23" i="7" l="1"/>
  <c r="F23" i="7" l="1"/>
  <c r="H23" i="7"/>
  <c r="J23" i="7"/>
  <c r="M23" i="7"/>
  <c r="R23" i="7"/>
  <c r="T23" i="7" l="1"/>
  <c r="N20" i="7" l="1"/>
  <c r="F22" i="7" l="1"/>
  <c r="H22" i="7"/>
  <c r="J22" i="7"/>
  <c r="M22" i="7"/>
  <c r="R22" i="7"/>
  <c r="T22" i="7" l="1"/>
  <c r="N21" i="7"/>
  <c r="F21" i="7" l="1"/>
  <c r="H21" i="7"/>
  <c r="J21" i="7"/>
  <c r="M21" i="7"/>
  <c r="R21" i="7"/>
  <c r="N11" i="7"/>
  <c r="T9" i="7"/>
  <c r="T21" i="7" l="1"/>
  <c r="N19" i="7"/>
  <c r="D20" i="7"/>
  <c r="F20" i="7"/>
  <c r="H20" i="7"/>
  <c r="J20" i="7"/>
  <c r="M20" i="7"/>
  <c r="R20" i="7"/>
  <c r="P19" i="7"/>
  <c r="P28" i="7" s="1"/>
  <c r="O19" i="7"/>
  <c r="O28" i="7" s="1"/>
  <c r="D19" i="7"/>
  <c r="F19" i="7"/>
  <c r="H19" i="7"/>
  <c r="J19" i="7"/>
  <c r="M19" i="7"/>
  <c r="R19" i="7"/>
  <c r="T20" i="7" l="1"/>
  <c r="T19" i="7"/>
  <c r="I32" i="7"/>
  <c r="S18" i="7" s="1"/>
  <c r="S28" i="7" s="1"/>
  <c r="D18" i="7" l="1"/>
  <c r="R18" i="7"/>
  <c r="M18" i="7"/>
  <c r="J18" i="7"/>
  <c r="H18" i="7"/>
  <c r="F18" i="7"/>
  <c r="B18" i="7"/>
  <c r="T18" i="7" l="1"/>
  <c r="N17" i="7" l="1"/>
  <c r="D17" i="7" l="1"/>
  <c r="F17" i="7"/>
  <c r="H17" i="7"/>
  <c r="J17" i="7"/>
  <c r="M17" i="7"/>
  <c r="R17" i="7"/>
  <c r="T17" i="7" l="1"/>
  <c r="N16" i="7"/>
  <c r="N28" i="7" s="1"/>
  <c r="D16" i="7" l="1"/>
  <c r="R16" i="7"/>
  <c r="M16" i="7"/>
  <c r="J16" i="7"/>
  <c r="H16" i="7"/>
  <c r="F16" i="7"/>
  <c r="O11" i="7"/>
  <c r="T16" i="7" l="1"/>
  <c r="R15" i="7"/>
  <c r="R28" i="7" s="1"/>
  <c r="M15" i="7"/>
  <c r="M28" i="7" s="1"/>
  <c r="J15" i="7"/>
  <c r="J28" i="7" s="1"/>
  <c r="H15" i="7"/>
  <c r="H28" i="7" s="1"/>
  <c r="F15" i="7"/>
  <c r="F28" i="7" s="1"/>
  <c r="D15" i="7"/>
  <c r="D28" i="7" s="1"/>
  <c r="B15" i="7"/>
  <c r="B28" i="7" s="1"/>
  <c r="T8" i="7"/>
  <c r="T7" i="7"/>
  <c r="E7" i="7"/>
  <c r="O56" i="7"/>
  <c r="Q55" i="7"/>
  <c r="Q54" i="7"/>
  <c r="Q53" i="7"/>
  <c r="Q52" i="7"/>
  <c r="Q51" i="7"/>
  <c r="Q50" i="7"/>
  <c r="Q49" i="7"/>
  <c r="R11" i="7"/>
  <c r="Q11" i="7"/>
  <c r="P11" i="7"/>
  <c r="M11" i="7"/>
  <c r="L11" i="7"/>
  <c r="K11" i="7"/>
  <c r="J11" i="7"/>
  <c r="I11" i="7"/>
  <c r="H11" i="7"/>
  <c r="G11" i="7"/>
  <c r="F11" i="7"/>
  <c r="T11" i="7" l="1"/>
  <c r="T15" i="7"/>
  <c r="T28" i="7" s="1"/>
  <c r="Q56" i="7"/>
  <c r="R29" i="7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718,48-х/в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1647,36-эл-во
461,88-х/в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564,52-х/в
1202,24-эл.эн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461,88-х/в
1634,88-эл-во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456р-краска
1955-покос</t>
        </r>
      </text>
    </comment>
    <comment ref="N20" authorId="1" shapeId="0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359,24р-х/в
2099,47р-эл-во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238,71-х/в
1482,64-эл-во</t>
        </r>
      </text>
    </comment>
    <comment ref="O2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21500р-поверка теплосчетчика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Сварка двери и доводчика -1000р
2072р-покос
4133р-дезинсекция</t>
        </r>
      </text>
    </comment>
  </commentList>
</comments>
</file>

<file path=xl/sharedStrings.xml><?xml version="1.0" encoding="utf-8"?>
<sst xmlns="http://schemas.openxmlformats.org/spreadsheetml/2006/main" count="89" uniqueCount="80">
  <si>
    <t>Содержание</t>
  </si>
  <si>
    <t>март</t>
  </si>
  <si>
    <t>апрель</t>
  </si>
  <si>
    <t>ремонт</t>
  </si>
  <si>
    <t>итого</t>
  </si>
  <si>
    <t>май</t>
  </si>
  <si>
    <t>Наименование работ</t>
  </si>
  <si>
    <t>ИТОГО</t>
  </si>
  <si>
    <t>июль</t>
  </si>
  <si>
    <t>август</t>
  </si>
  <si>
    <t>июнь</t>
  </si>
  <si>
    <t>сентябрь</t>
  </si>
  <si>
    <t>дезинсекция</t>
  </si>
  <si>
    <t>ИТОГО:</t>
  </si>
  <si>
    <t>краска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</si>
  <si>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</si>
  <si>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</si>
  <si>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</si>
  <si>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</si>
  <si>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</si>
  <si>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</si>
  <si>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</si>
  <si>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</si>
  <si>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</si>
  <si>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</si>
  <si>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</si>
  <si>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</si>
  <si>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</si>
  <si>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</si>
  <si>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</si>
  <si>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</si>
  <si>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</si>
  <si>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</si>
  <si>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</si>
  <si>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</si>
  <si>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</si>
  <si>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</si>
  <si>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</si>
  <si>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</si>
  <si>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</si>
  <si>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</si>
  <si>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</si>
  <si>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</si>
  <si>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</si>
  <si>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</si>
  <si>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</si>
  <si>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</si>
  <si>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</si>
  <si>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</si>
  <si>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</si>
  <si>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</si>
  <si>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</si>
  <si>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</si>
  <si>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</si>
  <si>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</si>
  <si>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</si>
  <si>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</si>
  <si>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</si>
  <si>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</si>
  <si>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</si>
  <si>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</si>
  <si>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</si>
  <si>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</si>
  <si>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</si>
  <si>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</si>
  <si>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покос</t>
  </si>
  <si>
    <t>Информация о доходах и расходах по дому __Бойко 108__на 2017год.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</si>
  <si>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</si>
  <si>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</si>
  <si>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</si>
  <si>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</si>
  <si>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</si>
  <si>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</si>
  <si>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3415,36-эл-во</t>
  </si>
  <si>
    <t>51,32-х/в</t>
  </si>
  <si>
    <t>Непредвиденные затраты</t>
  </si>
  <si>
    <t>услуги сторонних организаций, разовые работы</t>
  </si>
  <si>
    <t>5200,33-эл-во</t>
  </si>
  <si>
    <t>Сварка двери и доводчика</t>
  </si>
  <si>
    <t>159,14-х/в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</si>
</sst>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&quot;р.&quot;_-;\-* #,##0&quot;р.&quot;_-;_-* &quot;-&quot;&quot;р.&quot;_-;_-@_-"/>
    <numFmt numFmtId="165" formatCode="#,##0.00_р_.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0"/>
      <name val="Arial Cyr"/>
      <charset val="204"/>
    </font>
    <font>
      <sz val="6"/>
      <color theme="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2" fontId="0" fillId="0" borderId="0" xfId="0" applyNumberFormat="1"/>
    <xf numFmtId="0" fontId="0" fillId="0" borderId="4" xfId="0" applyBorder="1"/>
    <xf numFmtId="17" fontId="3" fillId="2" borderId="4" xfId="0" applyNumberFormat="1" applyFont="1" applyFill="1" applyBorder="1" applyAlignment="1">
      <alignment horizontal="left"/>
    </xf>
    <xf numFmtId="4" fontId="0" fillId="0" borderId="0" xfId="0" applyNumberFormat="1"/>
    <xf numFmtId="0" fontId="0" fillId="6" borderId="4" xfId="0" applyFill="1" applyBorder="1"/>
    <xf numFmtId="0" fontId="3" fillId="0" borderId="0" xfId="0" applyFont="1" applyFill="1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9" fillId="7" borderId="12" xfId="0" applyNumberFormat="1" applyFont="1" applyFill="1" applyBorder="1" applyAlignment="1"/>
    <xf numFmtId="2" fontId="9" fillId="0" borderId="5" xfId="0" applyNumberFormat="1" applyFont="1" applyBorder="1" applyAlignment="1">
      <alignment horizontal="center" vertical="top" wrapText="1"/>
    </xf>
    <xf numFmtId="4" fontId="3" fillId="7" borderId="4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 vertical="top" wrapText="1"/>
    </xf>
    <xf numFmtId="4" fontId="2" fillId="7" borderId="4" xfId="0" applyNumberFormat="1" applyFont="1" applyFill="1" applyBorder="1"/>
    <xf numFmtId="2" fontId="2" fillId="10" borderId="14" xfId="0" applyNumberFormat="1" applyFont="1" applyFill="1" applyBorder="1" applyAlignment="1">
      <alignment horizontal="center" vertical="top" wrapText="1"/>
    </xf>
    <xf numFmtId="165" fontId="2" fillId="10" borderId="4" xfId="0" applyNumberFormat="1" applyFont="1" applyFill="1" applyBorder="1"/>
    <xf numFmtId="165" fontId="2" fillId="10" borderId="5" xfId="0" applyNumberFormat="1" applyFont="1" applyFill="1" applyBorder="1"/>
    <xf numFmtId="4" fontId="2" fillId="10" borderId="4" xfId="0" applyNumberFormat="1" applyFont="1" applyFill="1" applyBorder="1"/>
    <xf numFmtId="17" fontId="3" fillId="4" borderId="4" xfId="0" applyNumberFormat="1" applyFont="1" applyFill="1" applyBorder="1" applyAlignment="1">
      <alignment horizontal="left" wrapText="1"/>
    </xf>
    <xf numFmtId="0" fontId="3" fillId="3" borderId="4" xfId="0" applyFont="1" applyFill="1" applyBorder="1"/>
    <xf numFmtId="165" fontId="2" fillId="3" borderId="4" xfId="0" applyNumberFormat="1" applyFont="1" applyFill="1" applyBorder="1"/>
    <xf numFmtId="4" fontId="9" fillId="3" borderId="4" xfId="0" applyNumberFormat="1" applyFont="1" applyFill="1" applyBorder="1"/>
    <xf numFmtId="0" fontId="0" fillId="7" borderId="4" xfId="0" applyFill="1" applyBorder="1"/>
    <xf numFmtId="0" fontId="0" fillId="7" borderId="2" xfId="0" applyFill="1" applyBorder="1"/>
    <xf numFmtId="0" fontId="0" fillId="0" borderId="2" xfId="0" applyBorder="1"/>
    <xf numFmtId="0" fontId="9" fillId="7" borderId="4" xfId="0" applyNumberFormat="1" applyFont="1" applyFill="1" applyBorder="1" applyAlignment="1">
      <alignment wrapText="1"/>
    </xf>
    <xf numFmtId="165" fontId="2" fillId="5" borderId="4" xfId="0" applyNumberFormat="1" applyFont="1" applyFill="1" applyBorder="1"/>
    <xf numFmtId="2" fontId="2" fillId="7" borderId="5" xfId="0" applyNumberFormat="1" applyFont="1" applyFill="1" applyBorder="1" applyAlignment="1">
      <alignment horizontal="right" vertical="top" wrapText="1"/>
    </xf>
    <xf numFmtId="2" fontId="9" fillId="7" borderId="4" xfId="0" applyNumberFormat="1" applyFont="1" applyFill="1" applyBorder="1" applyAlignment="1">
      <alignment vertical="top" wrapText="1"/>
    </xf>
    <xf numFmtId="2" fontId="9" fillId="7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10" borderId="2" xfId="0" applyNumberFormat="1" applyFont="1" applyFill="1" applyBorder="1" applyAlignment="1">
      <alignment horizontal="center" vertical="top" wrapText="1"/>
    </xf>
    <xf numFmtId="2" fontId="2" fillId="10" borderId="8" xfId="0" applyNumberFormat="1" applyFont="1" applyFill="1" applyBorder="1" applyAlignment="1">
      <alignment horizontal="center" vertical="top" wrapText="1"/>
    </xf>
    <xf numFmtId="2" fontId="2" fillId="10" borderId="6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0" fontId="1" fillId="7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5" borderId="4" xfId="0" applyNumberFormat="1" applyFont="1" applyFill="1" applyBorder="1"/>
    <xf numFmtId="165" fontId="5" fillId="11" borderId="4" xfId="0" applyNumberFormat="1" applyFont="1" applyFill="1" applyBorder="1"/>
    <xf numFmtId="165" fontId="2" fillId="5" borderId="4" xfId="0" applyNumberFormat="1" applyFont="1" applyFill="1" applyBorder="1" applyAlignment="1"/>
    <xf numFmtId="165" fontId="5" fillId="8" borderId="4" xfId="0" applyNumberFormat="1" applyFont="1" applyFill="1" applyBorder="1"/>
    <xf numFmtId="165" fontId="5" fillId="3" borderId="4" xfId="0" applyNumberFormat="1" applyFont="1" applyFill="1" applyBorder="1"/>
    <xf numFmtId="165" fontId="2" fillId="0" borderId="0" xfId="0" applyNumberFormat="1" applyFont="1" applyFill="1" applyBorder="1"/>
    <xf numFmtId="165" fontId="12" fillId="0" borderId="0" xfId="0" applyNumberFormat="1" applyFont="1" applyFill="1" applyBorder="1"/>
    <xf numFmtId="164" fontId="2" fillId="0" borderId="0" xfId="0" applyNumberFormat="1" applyFont="1" applyFill="1" applyBorder="1"/>
    <xf numFmtId="4" fontId="9" fillId="0" borderId="0" xfId="0" applyNumberFormat="1" applyFont="1" applyFill="1" applyBorder="1"/>
    <xf numFmtId="164" fontId="0" fillId="0" borderId="0" xfId="0" applyNumberFormat="1"/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6" borderId="6" xfId="0" applyFill="1" applyBorder="1" applyAlignment="1">
      <alignment horizont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6" xfId="0" applyBorder="1" applyAlignment="1"/>
    <xf numFmtId="2" fontId="2" fillId="7" borderId="4" xfId="0" applyNumberFormat="1" applyFont="1" applyFill="1" applyBorder="1" applyAlignment="1">
      <alignment horizontal="right" vertical="top" wrapText="1"/>
    </xf>
    <xf numFmtId="2" fontId="9" fillId="7" borderId="4" xfId="0" applyNumberFormat="1" applyFont="1" applyFill="1" applyBorder="1" applyAlignment="1">
      <alignment horizontal="right" vertical="top" wrapText="1"/>
    </xf>
    <xf numFmtId="2" fontId="9" fillId="7" borderId="6" xfId="0" applyNumberFormat="1" applyFont="1" applyFill="1" applyBorder="1" applyAlignment="1">
      <alignment horizontal="right" vertical="top" wrapText="1"/>
    </xf>
    <xf numFmtId="165" fontId="2" fillId="0" borderId="0" xfId="0" applyNumberFormat="1" applyFont="1"/>
    <xf numFmtId="165" fontId="14" fillId="0" borderId="0" xfId="0" applyNumberFormat="1" applyFont="1" applyFill="1" applyBorder="1"/>
    <xf numFmtId="2" fontId="2" fillId="7" borderId="4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/>
    <xf numFmtId="0" fontId="17" fillId="0" borderId="0" xfId="0" applyFont="1" applyFill="1" applyBorder="1"/>
    <xf numFmtId="165" fontId="18" fillId="0" borderId="0" xfId="0" applyNumberFormat="1" applyFont="1" applyFill="1" applyBorder="1"/>
    <xf numFmtId="165" fontId="2" fillId="6" borderId="2" xfId="0" applyNumberFormat="1" applyFont="1" applyFill="1" applyBorder="1" applyAlignment="1">
      <alignment horizontal="center"/>
    </xf>
    <xf numFmtId="165" fontId="2" fillId="6" borderId="6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164" fontId="5" fillId="0" borderId="0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2" fontId="1" fillId="10" borderId="2" xfId="0" applyNumberFormat="1" applyFont="1" applyFill="1" applyBorder="1" applyAlignment="1">
      <alignment horizontal="center" vertical="top" wrapText="1"/>
    </xf>
    <xf numFmtId="2" fontId="1" fillId="10" borderId="8" xfId="0" applyNumberFormat="1" applyFont="1" applyFill="1" applyBorder="1" applyAlignment="1">
      <alignment horizontal="center" vertical="top" wrapText="1"/>
    </xf>
    <xf numFmtId="2" fontId="1" fillId="10" borderId="6" xfId="0" applyNumberFormat="1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wrapText="1"/>
    </xf>
    <xf numFmtId="0" fontId="0" fillId="6" borderId="6" xfId="0" applyFill="1" applyBorder="1"/>
    <xf numFmtId="165" fontId="2" fillId="3" borderId="2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165" fontId="12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left" wrapText="1"/>
    </xf>
    <xf numFmtId="2" fontId="9" fillId="0" borderId="9" xfId="0" applyNumberFormat="1" applyFont="1" applyBorder="1" applyAlignment="1">
      <alignment horizontal="left" wrapText="1"/>
    </xf>
    <xf numFmtId="2" fontId="9" fillId="0" borderId="7" xfId="0" applyNumberFormat="1" applyFont="1" applyBorder="1" applyAlignment="1">
      <alignment horizontal="left" wrapText="1"/>
    </xf>
    <xf numFmtId="2" fontId="9" fillId="0" borderId="13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textRotation="90" wrapText="1"/>
    </xf>
    <xf numFmtId="2" fontId="9" fillId="0" borderId="3" xfId="0" applyNumberFormat="1" applyFont="1" applyBorder="1" applyAlignment="1">
      <alignment horizontal="left" textRotation="90" wrapText="1"/>
    </xf>
    <xf numFmtId="2" fontId="9" fillId="0" borderId="5" xfId="0" applyNumberFormat="1" applyFont="1" applyBorder="1" applyAlignment="1">
      <alignment horizontal="left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6" borderId="2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6" borderId="2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7" borderId="8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56"/>
  <sheetViews>
    <sheetView tabSelected="1" zoomScaleNormal="100" workbookViewId="0">
      <selection activeCell="H33" sqref="H33"/>
    </sheetView>
  </sheetViews>
  <sheetFormatPr defaultRowHeight="12.75" x14ac:dyDescent="0.2"/>
  <cols>
    <col min="1" max="1" width="8.85546875" customWidth="1"/>
    <col min="2" max="2" width="6.5703125" customWidth="1"/>
    <col min="3" max="3" width="4" customWidth="1"/>
    <col min="4" max="4" width="8.7109375" customWidth="1"/>
    <col min="5" max="5" width="9.5703125" customWidth="1"/>
    <col min="6" max="6" width="8.85546875" customWidth="1"/>
    <col min="7" max="7" width="9" customWidth="1"/>
    <col min="8" max="8" width="9.140625" customWidth="1"/>
    <col min="9" max="9" width="8.42578125" customWidth="1"/>
    <col min="10" max="10" width="9" customWidth="1"/>
    <col min="11" max="11" width="5.140625" hidden="1" customWidth="1"/>
    <col min="12" max="12" width="5.42578125" hidden="1" customWidth="1"/>
    <col min="13" max="13" width="9" customWidth="1"/>
    <col min="14" max="14" width="9.28515625" customWidth="1"/>
    <col min="15" max="15" width="8.85546875" customWidth="1"/>
    <col min="16" max="16" width="9" customWidth="1"/>
    <col min="17" max="17" width="6.42578125" customWidth="1"/>
    <col min="18" max="18" width="9" customWidth="1"/>
    <col min="19" max="19" width="8.140625" customWidth="1"/>
    <col min="20" max="20" width="9.28515625" customWidth="1"/>
  </cols>
  <sheetData>
    <row r="1" spans="1:21" ht="13.5" customHeight="1" x14ac:dyDescent="0.25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1" ht="12.75" hidden="1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1" x14ac:dyDescent="0.2">
      <c r="A3" s="103"/>
      <c r="B3" s="104"/>
      <c r="C3" s="104"/>
      <c r="D3" s="104"/>
      <c r="E3" s="105"/>
      <c r="F3" s="106" t="s">
        <v>16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30"/>
      <c r="T3" s="2"/>
    </row>
    <row r="4" spans="1:21" ht="12.75" customHeight="1" x14ac:dyDescent="0.2">
      <c r="A4" s="7"/>
      <c r="B4" s="109" t="s">
        <v>17</v>
      </c>
      <c r="C4" s="110"/>
      <c r="D4" s="110"/>
      <c r="E4" s="111"/>
      <c r="F4" s="112" t="s">
        <v>0</v>
      </c>
      <c r="G4" s="113"/>
      <c r="H4" s="113"/>
      <c r="I4" s="113"/>
      <c r="J4" s="113"/>
      <c r="K4" s="113"/>
      <c r="L4" s="113"/>
      <c r="M4" s="113"/>
      <c r="N4" s="113"/>
      <c r="O4" s="113"/>
      <c r="P4" s="114" t="s">
        <v>18</v>
      </c>
      <c r="Q4" s="115"/>
      <c r="R4" s="118" t="s">
        <v>19</v>
      </c>
      <c r="S4" s="121" t="s">
        <v>75</v>
      </c>
      <c r="T4" s="124" t="s">
        <v>7</v>
      </c>
    </row>
    <row r="5" spans="1:21" ht="45" customHeight="1" x14ac:dyDescent="0.2">
      <c r="A5" s="8"/>
      <c r="B5" s="96" t="s">
        <v>20</v>
      </c>
      <c r="C5" s="96" t="s">
        <v>3</v>
      </c>
      <c r="D5" s="96" t="s">
        <v>68</v>
      </c>
      <c r="E5" s="98" t="s">
        <v>4</v>
      </c>
      <c r="F5" s="70" t="s">
        <v>21</v>
      </c>
      <c r="G5" s="70" t="s">
        <v>22</v>
      </c>
      <c r="H5" s="70" t="s">
        <v>23</v>
      </c>
      <c r="I5" s="70" t="s">
        <v>24</v>
      </c>
      <c r="J5" s="70" t="s">
        <v>25</v>
      </c>
      <c r="K5" s="70" t="s">
        <v>26</v>
      </c>
      <c r="L5" s="70" t="s">
        <v>27</v>
      </c>
      <c r="M5" s="70" t="s">
        <v>28</v>
      </c>
      <c r="N5" s="87" t="s">
        <v>29</v>
      </c>
      <c r="O5" s="88"/>
      <c r="P5" s="116"/>
      <c r="Q5" s="117"/>
      <c r="R5" s="119"/>
      <c r="S5" s="122"/>
      <c r="T5" s="125"/>
    </row>
    <row r="6" spans="1:21" ht="123.75" customHeight="1" x14ac:dyDescent="0.2">
      <c r="A6" s="9"/>
      <c r="B6" s="97"/>
      <c r="C6" s="97"/>
      <c r="D6" s="97"/>
      <c r="E6" s="99"/>
      <c r="F6" s="71"/>
      <c r="G6" s="71"/>
      <c r="H6" s="71"/>
      <c r="I6" s="71"/>
      <c r="J6" s="71"/>
      <c r="K6" s="71"/>
      <c r="L6" s="71"/>
      <c r="M6" s="71"/>
      <c r="N6" s="35" t="s">
        <v>69</v>
      </c>
      <c r="O6" s="35" t="s">
        <v>76</v>
      </c>
      <c r="P6" s="31" t="s">
        <v>30</v>
      </c>
      <c r="Q6" s="31" t="s">
        <v>31</v>
      </c>
      <c r="R6" s="120"/>
      <c r="S6" s="123"/>
      <c r="T6" s="126"/>
    </row>
    <row r="7" spans="1:21" x14ac:dyDescent="0.2">
      <c r="A7" s="25">
        <v>2016</v>
      </c>
      <c r="B7" s="36">
        <v>11</v>
      </c>
      <c r="C7" s="36">
        <v>2.5</v>
      </c>
      <c r="D7" s="36">
        <v>1.5</v>
      </c>
      <c r="E7" s="11">
        <f>SUM(B7:D7)</f>
        <v>15</v>
      </c>
      <c r="F7" s="27">
        <v>1.2</v>
      </c>
      <c r="G7" s="27">
        <v>1.5</v>
      </c>
      <c r="H7" s="27">
        <v>1.6</v>
      </c>
      <c r="I7" s="27">
        <v>0.4</v>
      </c>
      <c r="J7" s="27">
        <v>2.1</v>
      </c>
      <c r="K7" s="27">
        <v>0</v>
      </c>
      <c r="L7" s="27">
        <v>0</v>
      </c>
      <c r="M7" s="27">
        <v>2.2000000000000002</v>
      </c>
      <c r="N7" s="27">
        <v>0</v>
      </c>
      <c r="O7" s="27">
        <v>2</v>
      </c>
      <c r="P7" s="28">
        <v>1.25</v>
      </c>
      <c r="Q7" s="28">
        <v>1.25</v>
      </c>
      <c r="R7" s="29">
        <v>1.5</v>
      </c>
      <c r="S7" s="29">
        <v>0</v>
      </c>
      <c r="T7" s="10">
        <f>SUM(F7:S7)</f>
        <v>15</v>
      </c>
    </row>
    <row r="8" spans="1:21" x14ac:dyDescent="0.2">
      <c r="A8" s="25">
        <v>2017</v>
      </c>
      <c r="B8" s="89" t="s">
        <v>70</v>
      </c>
      <c r="C8" s="90"/>
      <c r="D8" s="91"/>
      <c r="E8" s="11">
        <v>16.04</v>
      </c>
      <c r="F8" s="56">
        <v>1.2</v>
      </c>
      <c r="G8" s="56">
        <v>1.5</v>
      </c>
      <c r="H8" s="56">
        <v>1.6</v>
      </c>
      <c r="I8" s="56">
        <v>0.4</v>
      </c>
      <c r="J8" s="56">
        <v>2.1</v>
      </c>
      <c r="K8" s="56">
        <v>0</v>
      </c>
      <c r="L8" s="56">
        <v>0</v>
      </c>
      <c r="M8" s="56">
        <v>2.2000000000000002</v>
      </c>
      <c r="N8" s="56">
        <v>1.04</v>
      </c>
      <c r="O8" s="56">
        <v>2</v>
      </c>
      <c r="P8" s="57">
        <v>1.25</v>
      </c>
      <c r="Q8" s="58">
        <v>1.25</v>
      </c>
      <c r="R8" s="29">
        <v>1.5</v>
      </c>
      <c r="S8" s="29">
        <v>0</v>
      </c>
      <c r="T8" s="10">
        <f>SUM(F8:S8)</f>
        <v>16.04</v>
      </c>
    </row>
    <row r="9" spans="1:21" x14ac:dyDescent="0.2">
      <c r="A9" s="25">
        <v>2017</v>
      </c>
      <c r="B9" s="89" t="s">
        <v>71</v>
      </c>
      <c r="C9" s="90"/>
      <c r="D9" s="91"/>
      <c r="E9" s="11">
        <v>17.149999999999999</v>
      </c>
      <c r="F9" s="56">
        <v>1.2</v>
      </c>
      <c r="G9" s="56">
        <v>1.5</v>
      </c>
      <c r="H9" s="56">
        <v>1.6</v>
      </c>
      <c r="I9" s="56">
        <v>0.4</v>
      </c>
      <c r="J9" s="56">
        <v>2.1</v>
      </c>
      <c r="K9" s="61"/>
      <c r="L9" s="61"/>
      <c r="M9" s="56">
        <v>2.2000000000000002</v>
      </c>
      <c r="N9" s="56">
        <v>2.15</v>
      </c>
      <c r="O9" s="56">
        <v>2</v>
      </c>
      <c r="P9" s="57">
        <v>1.25</v>
      </c>
      <c r="Q9" s="58">
        <v>1.25</v>
      </c>
      <c r="R9" s="29">
        <v>1.5</v>
      </c>
      <c r="S9" s="29">
        <v>0</v>
      </c>
      <c r="T9" s="10">
        <f>SUM(F9:S9)</f>
        <v>17.149999999999999</v>
      </c>
      <c r="U9" s="4"/>
    </row>
    <row r="10" spans="1:21" ht="22.5" customHeight="1" x14ac:dyDescent="0.2">
      <c r="A10" s="92" t="s">
        <v>32</v>
      </c>
      <c r="B10" s="93"/>
      <c r="C10" s="93"/>
      <c r="D10" s="94"/>
      <c r="E10" s="11">
        <v>2486.9</v>
      </c>
      <c r="F10" s="87" t="s">
        <v>33</v>
      </c>
      <c r="G10" s="95"/>
      <c r="H10" s="95"/>
      <c r="I10" s="95"/>
      <c r="J10" s="95"/>
      <c r="K10" s="95"/>
      <c r="L10" s="95"/>
      <c r="M10" s="95"/>
      <c r="N10" s="95"/>
      <c r="O10" s="88"/>
      <c r="P10" s="73" t="s">
        <v>34</v>
      </c>
      <c r="Q10" s="74"/>
      <c r="R10" s="10" t="s">
        <v>35</v>
      </c>
      <c r="S10" s="10"/>
      <c r="T10" s="10"/>
      <c r="U10" s="1"/>
    </row>
    <row r="11" spans="1:21" ht="12.75" customHeight="1" x14ac:dyDescent="0.2">
      <c r="A11" s="75" t="s">
        <v>36</v>
      </c>
      <c r="B11" s="76"/>
      <c r="C11" s="76"/>
      <c r="D11" s="76"/>
      <c r="E11" s="77"/>
      <c r="F11" s="12">
        <f>E10*F7</f>
        <v>2984.28</v>
      </c>
      <c r="G11" s="12">
        <f>E10*G7</f>
        <v>3730.3500000000004</v>
      </c>
      <c r="H11" s="12">
        <f>E10*H8</f>
        <v>3979.0400000000004</v>
      </c>
      <c r="I11" s="12">
        <f>E10*I7</f>
        <v>994.7600000000001</v>
      </c>
      <c r="J11" s="12">
        <f>E10*J7</f>
        <v>5222.4900000000007</v>
      </c>
      <c r="K11" s="12">
        <f>SUM(K7*2002.5)</f>
        <v>0</v>
      </c>
      <c r="L11" s="12">
        <f>SUM(L7*2002.5)</f>
        <v>0</v>
      </c>
      <c r="M11" s="12">
        <f>E10*M7</f>
        <v>5471.18</v>
      </c>
      <c r="N11" s="12">
        <f>E10*N9</f>
        <v>5346.835</v>
      </c>
      <c r="O11" s="12">
        <f>E10*O8</f>
        <v>4973.8</v>
      </c>
      <c r="P11" s="12">
        <f>E10*P7</f>
        <v>3108.625</v>
      </c>
      <c r="Q11" s="12">
        <f>E10*Q7</f>
        <v>3108.625</v>
      </c>
      <c r="R11" s="12">
        <f>E10*R7</f>
        <v>3730.3500000000004</v>
      </c>
      <c r="S11" s="12">
        <v>0</v>
      </c>
      <c r="T11" s="12">
        <f>SUM(F11:S11)</f>
        <v>42650.334999999999</v>
      </c>
      <c r="U11" s="1"/>
    </row>
    <row r="12" spans="1:21" ht="12.75" customHeight="1" x14ac:dyDescent="0.2">
      <c r="A12" s="78" t="s">
        <v>37</v>
      </c>
      <c r="B12" s="78"/>
      <c r="C12" s="78"/>
      <c r="D12" s="78"/>
      <c r="E12" s="79"/>
      <c r="F12" s="80" t="s">
        <v>38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</row>
    <row r="13" spans="1:21" ht="21.75" customHeight="1" x14ac:dyDescent="0.2">
      <c r="A13" s="163" t="s">
        <v>39</v>
      </c>
      <c r="B13" s="163"/>
      <c r="C13" s="163"/>
      <c r="D13" s="164"/>
      <c r="E13" s="13">
        <v>-237743.36000000004</v>
      </c>
      <c r="F13" s="32"/>
      <c r="G13" s="33"/>
      <c r="H13" s="1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1" x14ac:dyDescent="0.2">
      <c r="A14" s="37"/>
      <c r="B14" s="83" t="s">
        <v>67</v>
      </c>
      <c r="C14" s="83"/>
      <c r="D14" s="38" t="s">
        <v>37</v>
      </c>
      <c r="E14" s="39" t="s">
        <v>15</v>
      </c>
      <c r="F14" s="32"/>
      <c r="G14" s="33"/>
      <c r="H14" s="1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</row>
    <row r="15" spans="1:21" x14ac:dyDescent="0.2">
      <c r="A15" s="3" t="s">
        <v>40</v>
      </c>
      <c r="B15" s="68">
        <f>29780+5956</f>
        <v>35736</v>
      </c>
      <c r="C15" s="84"/>
      <c r="D15" s="40">
        <f>17397.68+3013.75+3689.25+602.75</f>
        <v>24703.43</v>
      </c>
      <c r="E15" s="41"/>
      <c r="F15" s="15">
        <f>E10*F8</f>
        <v>2984.28</v>
      </c>
      <c r="G15" s="15">
        <v>3597.4</v>
      </c>
      <c r="H15" s="16">
        <f>E10*H8</f>
        <v>3979.0400000000004</v>
      </c>
      <c r="I15" s="15">
        <v>1400</v>
      </c>
      <c r="J15" s="15">
        <f>E10*J8</f>
        <v>5222.4900000000007</v>
      </c>
      <c r="K15" s="15"/>
      <c r="L15" s="15"/>
      <c r="M15" s="15">
        <f>E10*M8</f>
        <v>5471.18</v>
      </c>
      <c r="N15" s="15">
        <v>0</v>
      </c>
      <c r="O15" s="15">
        <v>0</v>
      </c>
      <c r="P15" s="42">
        <v>0</v>
      </c>
      <c r="Q15" s="42">
        <v>0</v>
      </c>
      <c r="R15" s="15">
        <f>E10*R8</f>
        <v>3730.3500000000004</v>
      </c>
      <c r="S15" s="15">
        <v>718.48</v>
      </c>
      <c r="T15" s="17">
        <f t="shared" ref="T15:T26" si="0">SUM(F15:S15)</f>
        <v>27103.220000000005</v>
      </c>
      <c r="U15" s="4"/>
    </row>
    <row r="16" spans="1:21" x14ac:dyDescent="0.2">
      <c r="A16" s="3" t="s">
        <v>41</v>
      </c>
      <c r="B16" s="68">
        <v>38260.25</v>
      </c>
      <c r="C16" s="69"/>
      <c r="D16" s="40">
        <f>19106.25+5003.75+3820.97+1000.75</f>
        <v>28931.72</v>
      </c>
      <c r="E16" s="41"/>
      <c r="F16" s="15">
        <f t="shared" ref="F16:F26" si="1">2486.9*1.2</f>
        <v>2984.28</v>
      </c>
      <c r="G16" s="15">
        <v>3597.4</v>
      </c>
      <c r="H16" s="16">
        <f t="shared" ref="H16:H26" si="2">2486.9*1.6</f>
        <v>3979.0400000000004</v>
      </c>
      <c r="I16" s="15">
        <v>1400</v>
      </c>
      <c r="J16" s="15">
        <f t="shared" ref="J16:J26" si="3">2486.9*2.1</f>
        <v>5222.4900000000007</v>
      </c>
      <c r="K16" s="15"/>
      <c r="L16" s="15"/>
      <c r="M16" s="15">
        <f t="shared" ref="M16:M26" si="4">2486.9*2.2</f>
        <v>5471.18</v>
      </c>
      <c r="N16" s="15">
        <f>1647.36+461.88</f>
        <v>2109.2399999999998</v>
      </c>
      <c r="O16" s="15">
        <v>0</v>
      </c>
      <c r="P16" s="42">
        <v>0</v>
      </c>
      <c r="Q16" s="42">
        <v>0</v>
      </c>
      <c r="R16" s="15">
        <f t="shared" ref="R16:R26" si="5">2486.9*1.5</f>
        <v>3730.3500000000004</v>
      </c>
      <c r="S16" s="15">
        <v>0</v>
      </c>
      <c r="T16" s="17">
        <f t="shared" si="0"/>
        <v>28493.980000000003</v>
      </c>
      <c r="U16" s="4"/>
    </row>
    <row r="17" spans="1:21" x14ac:dyDescent="0.2">
      <c r="A17" s="3" t="s">
        <v>1</v>
      </c>
      <c r="B17" s="68">
        <v>38909.07</v>
      </c>
      <c r="C17" s="69"/>
      <c r="D17" s="40">
        <f>25929.82+4677.27</f>
        <v>30607.09</v>
      </c>
      <c r="E17" s="41"/>
      <c r="F17" s="15">
        <f t="shared" si="1"/>
        <v>2984.28</v>
      </c>
      <c r="G17" s="15">
        <v>3597.4</v>
      </c>
      <c r="H17" s="16">
        <f t="shared" si="2"/>
        <v>3979.0400000000004</v>
      </c>
      <c r="I17" s="15">
        <v>1400</v>
      </c>
      <c r="J17" s="15">
        <f t="shared" si="3"/>
        <v>5222.4900000000007</v>
      </c>
      <c r="K17" s="15"/>
      <c r="L17" s="15"/>
      <c r="M17" s="15">
        <f t="shared" si="4"/>
        <v>5471.18</v>
      </c>
      <c r="N17" s="15">
        <f>564.52+1202.24</f>
        <v>1766.76</v>
      </c>
      <c r="O17" s="15">
        <v>0</v>
      </c>
      <c r="P17" s="42">
        <v>0</v>
      </c>
      <c r="Q17" s="42">
        <v>0</v>
      </c>
      <c r="R17" s="15">
        <f t="shared" si="5"/>
        <v>3730.3500000000004</v>
      </c>
      <c r="S17" s="15">
        <v>0</v>
      </c>
      <c r="T17" s="17">
        <f t="shared" si="0"/>
        <v>28151.5</v>
      </c>
      <c r="U17" s="4"/>
    </row>
    <row r="18" spans="1:21" x14ac:dyDescent="0.2">
      <c r="A18" s="3" t="s">
        <v>42</v>
      </c>
      <c r="B18" s="68">
        <f>38930.72</f>
        <v>38930.720000000001</v>
      </c>
      <c r="C18" s="69"/>
      <c r="D18" s="40">
        <f>23173.65+6347.74</f>
        <v>29521.39</v>
      </c>
      <c r="E18" s="41"/>
      <c r="F18" s="15">
        <f t="shared" si="1"/>
        <v>2984.28</v>
      </c>
      <c r="G18" s="15">
        <v>3597.4</v>
      </c>
      <c r="H18" s="16">
        <f t="shared" si="2"/>
        <v>3979.0400000000004</v>
      </c>
      <c r="I18" s="15">
        <v>700</v>
      </c>
      <c r="J18" s="15">
        <f t="shared" si="3"/>
        <v>5222.4900000000007</v>
      </c>
      <c r="K18" s="15"/>
      <c r="L18" s="15"/>
      <c r="M18" s="15">
        <f t="shared" si="4"/>
        <v>5471.18</v>
      </c>
      <c r="N18" s="15">
        <v>2586.38</v>
      </c>
      <c r="O18" s="15">
        <v>0</v>
      </c>
      <c r="P18" s="42">
        <v>1784</v>
      </c>
      <c r="Q18" s="42">
        <v>0</v>
      </c>
      <c r="R18" s="15">
        <f t="shared" si="5"/>
        <v>3730.3500000000004</v>
      </c>
      <c r="S18" s="15">
        <f>I32-N18</f>
        <v>880.30000000000018</v>
      </c>
      <c r="T18" s="17">
        <f t="shared" si="0"/>
        <v>30935.420000000002</v>
      </c>
    </row>
    <row r="19" spans="1:21" x14ac:dyDescent="0.2">
      <c r="A19" s="3" t="s">
        <v>5</v>
      </c>
      <c r="B19" s="68">
        <v>27523.51</v>
      </c>
      <c r="C19" s="69"/>
      <c r="D19" s="40">
        <f>27523.51+18375.16</f>
        <v>45898.67</v>
      </c>
      <c r="E19" s="41"/>
      <c r="F19" s="15">
        <f t="shared" si="1"/>
        <v>2984.28</v>
      </c>
      <c r="G19" s="15">
        <v>3597.4</v>
      </c>
      <c r="H19" s="16">
        <f t="shared" si="2"/>
        <v>3979.0400000000004</v>
      </c>
      <c r="I19" s="15">
        <v>0</v>
      </c>
      <c r="J19" s="15">
        <f t="shared" si="3"/>
        <v>5222.4900000000007</v>
      </c>
      <c r="K19" s="15"/>
      <c r="L19" s="15"/>
      <c r="M19" s="15">
        <f t="shared" si="4"/>
        <v>5471.18</v>
      </c>
      <c r="N19" s="15">
        <f>1634.88+461.88</f>
        <v>2096.7600000000002</v>
      </c>
      <c r="O19" s="15">
        <f>456+1955</f>
        <v>2411</v>
      </c>
      <c r="P19" s="42">
        <f>2011+943</f>
        <v>2954</v>
      </c>
      <c r="Q19" s="42">
        <v>0</v>
      </c>
      <c r="R19" s="15">
        <f t="shared" si="5"/>
        <v>3730.3500000000004</v>
      </c>
      <c r="S19" s="15">
        <v>0</v>
      </c>
      <c r="T19" s="17">
        <f t="shared" si="0"/>
        <v>32446.5</v>
      </c>
    </row>
    <row r="20" spans="1:21" x14ac:dyDescent="0.2">
      <c r="A20" s="3" t="s">
        <v>10</v>
      </c>
      <c r="B20" s="68">
        <v>39998.629999999997</v>
      </c>
      <c r="C20" s="69"/>
      <c r="D20" s="40">
        <f>30051.06+6942.41+9.02</f>
        <v>37002.49</v>
      </c>
      <c r="E20" s="41"/>
      <c r="F20" s="15">
        <f t="shared" si="1"/>
        <v>2984.28</v>
      </c>
      <c r="G20" s="15">
        <v>3597.4</v>
      </c>
      <c r="H20" s="16">
        <f t="shared" si="2"/>
        <v>3979.0400000000004</v>
      </c>
      <c r="I20" s="15">
        <v>0</v>
      </c>
      <c r="J20" s="15">
        <f t="shared" si="3"/>
        <v>5222.4900000000007</v>
      </c>
      <c r="K20" s="15"/>
      <c r="L20" s="15"/>
      <c r="M20" s="15">
        <f t="shared" si="4"/>
        <v>5471.18</v>
      </c>
      <c r="N20" s="15">
        <f>2099.47+359.24</f>
        <v>2458.71</v>
      </c>
      <c r="O20" s="15">
        <v>0</v>
      </c>
      <c r="P20" s="42">
        <v>0</v>
      </c>
      <c r="Q20" s="42">
        <v>0</v>
      </c>
      <c r="R20" s="15">
        <f t="shared" si="5"/>
        <v>3730.3500000000004</v>
      </c>
      <c r="S20" s="15">
        <v>0</v>
      </c>
      <c r="T20" s="17">
        <f t="shared" si="0"/>
        <v>27443.450000000004</v>
      </c>
    </row>
    <row r="21" spans="1:21" x14ac:dyDescent="0.2">
      <c r="A21" s="3" t="s">
        <v>8</v>
      </c>
      <c r="B21" s="68">
        <v>40170.74</v>
      </c>
      <c r="C21" s="69"/>
      <c r="D21" s="40">
        <v>28552.489999999998</v>
      </c>
      <c r="E21" s="41"/>
      <c r="F21" s="15">
        <f t="shared" si="1"/>
        <v>2984.28</v>
      </c>
      <c r="G21" s="15">
        <v>3597.4</v>
      </c>
      <c r="H21" s="16">
        <f t="shared" si="2"/>
        <v>3979.0400000000004</v>
      </c>
      <c r="I21" s="15">
        <v>0</v>
      </c>
      <c r="J21" s="15">
        <f t="shared" si="3"/>
        <v>5222.4900000000007</v>
      </c>
      <c r="K21" s="15"/>
      <c r="L21" s="15"/>
      <c r="M21" s="15">
        <f t="shared" si="4"/>
        <v>5471.18</v>
      </c>
      <c r="N21" s="15">
        <f>238.71+1482.64</f>
        <v>1721.3500000000001</v>
      </c>
      <c r="O21" s="15">
        <v>0</v>
      </c>
      <c r="P21" s="42">
        <v>0</v>
      </c>
      <c r="Q21" s="42">
        <v>0</v>
      </c>
      <c r="R21" s="15">
        <f t="shared" si="5"/>
        <v>3730.3500000000004</v>
      </c>
      <c r="S21" s="15">
        <v>0</v>
      </c>
      <c r="T21" s="17">
        <f t="shared" si="0"/>
        <v>26706.090000000004</v>
      </c>
    </row>
    <row r="22" spans="1:21" x14ac:dyDescent="0.2">
      <c r="A22" s="3" t="s">
        <v>9</v>
      </c>
      <c r="B22" s="68">
        <v>40183.97</v>
      </c>
      <c r="C22" s="69"/>
      <c r="D22" s="40">
        <v>35088.15</v>
      </c>
      <c r="E22" s="41"/>
      <c r="F22" s="15">
        <f t="shared" si="1"/>
        <v>2984.28</v>
      </c>
      <c r="G22" s="15">
        <v>3597.4</v>
      </c>
      <c r="H22" s="16">
        <f t="shared" si="2"/>
        <v>3979.0400000000004</v>
      </c>
      <c r="I22" s="15">
        <v>0</v>
      </c>
      <c r="J22" s="15">
        <f t="shared" si="3"/>
        <v>5222.4900000000007</v>
      </c>
      <c r="K22" s="15"/>
      <c r="L22" s="15"/>
      <c r="M22" s="15">
        <f t="shared" si="4"/>
        <v>5471.18</v>
      </c>
      <c r="N22" s="15">
        <v>3829.83</v>
      </c>
      <c r="O22" s="15">
        <v>21500</v>
      </c>
      <c r="P22" s="42">
        <f>5162+304+14980</f>
        <v>20446</v>
      </c>
      <c r="Q22" s="42">
        <v>0</v>
      </c>
      <c r="R22" s="15">
        <f t="shared" si="5"/>
        <v>3730.3500000000004</v>
      </c>
      <c r="S22" s="15">
        <f>I33-N22</f>
        <v>1529.6400000000003</v>
      </c>
      <c r="T22" s="17">
        <f t="shared" si="0"/>
        <v>72290.210000000006</v>
      </c>
    </row>
    <row r="23" spans="1:21" x14ac:dyDescent="0.2">
      <c r="A23" s="3" t="s">
        <v>43</v>
      </c>
      <c r="B23" s="68">
        <v>41666.050000000003</v>
      </c>
      <c r="C23" s="69"/>
      <c r="D23" s="40">
        <v>37223.54</v>
      </c>
      <c r="E23" s="41"/>
      <c r="F23" s="15">
        <f t="shared" si="1"/>
        <v>2984.28</v>
      </c>
      <c r="G23" s="15">
        <v>3597.4</v>
      </c>
      <c r="H23" s="16">
        <f t="shared" si="2"/>
        <v>3979.0400000000004</v>
      </c>
      <c r="I23" s="15">
        <v>0</v>
      </c>
      <c r="J23" s="15">
        <f t="shared" si="3"/>
        <v>5222.4900000000007</v>
      </c>
      <c r="K23" s="15"/>
      <c r="L23" s="15"/>
      <c r="M23" s="15">
        <f t="shared" si="4"/>
        <v>5471.18</v>
      </c>
      <c r="N23" s="15">
        <f>238.71</f>
        <v>238.71</v>
      </c>
      <c r="O23" s="15">
        <f>1000+2072+4133</f>
        <v>7205</v>
      </c>
      <c r="P23" s="42">
        <v>0</v>
      </c>
      <c r="Q23" s="42">
        <v>0</v>
      </c>
      <c r="R23" s="15">
        <f t="shared" si="5"/>
        <v>3730.3500000000004</v>
      </c>
      <c r="S23" s="15">
        <v>0</v>
      </c>
      <c r="T23" s="17">
        <f t="shared" si="0"/>
        <v>32428.450000000004</v>
      </c>
    </row>
    <row r="24" spans="1:21" x14ac:dyDescent="0.2">
      <c r="A24" s="3" t="s">
        <v>44</v>
      </c>
      <c r="B24" s="68">
        <v>36661.199999999997</v>
      </c>
      <c r="C24" s="69"/>
      <c r="D24" s="40">
        <v>85513.64</v>
      </c>
      <c r="E24" s="41"/>
      <c r="F24" s="15">
        <f t="shared" si="1"/>
        <v>2984.28</v>
      </c>
      <c r="G24" s="15">
        <v>3597.4</v>
      </c>
      <c r="H24" s="16">
        <f t="shared" si="2"/>
        <v>3979.0400000000004</v>
      </c>
      <c r="I24" s="15">
        <v>1400</v>
      </c>
      <c r="J24" s="15">
        <f t="shared" si="3"/>
        <v>5222.4900000000007</v>
      </c>
      <c r="K24" s="15"/>
      <c r="L24" s="15"/>
      <c r="M24" s="15">
        <f t="shared" si="4"/>
        <v>5471.18</v>
      </c>
      <c r="N24" s="15">
        <v>2139.02</v>
      </c>
      <c r="O24" s="15">
        <v>0</v>
      </c>
      <c r="P24" s="42">
        <v>0</v>
      </c>
      <c r="Q24" s="42">
        <v>0</v>
      </c>
      <c r="R24" s="15">
        <f t="shared" si="5"/>
        <v>3730.3500000000004</v>
      </c>
      <c r="S24" s="15">
        <v>0</v>
      </c>
      <c r="T24" s="17">
        <f t="shared" si="0"/>
        <v>28523.760000000002</v>
      </c>
    </row>
    <row r="25" spans="1:21" x14ac:dyDescent="0.2">
      <c r="A25" s="3" t="s">
        <v>45</v>
      </c>
      <c r="B25" s="68">
        <v>38531.83</v>
      </c>
      <c r="C25" s="69"/>
      <c r="D25" s="40">
        <f>20620.21+8786.82+25.24</f>
        <v>29432.27</v>
      </c>
      <c r="E25" s="41"/>
      <c r="F25" s="15">
        <f t="shared" si="1"/>
        <v>2984.28</v>
      </c>
      <c r="G25" s="15">
        <v>3597.4</v>
      </c>
      <c r="H25" s="16">
        <f t="shared" si="2"/>
        <v>3979.0400000000004</v>
      </c>
      <c r="I25" s="15">
        <v>1400</v>
      </c>
      <c r="J25" s="15">
        <f t="shared" si="3"/>
        <v>5222.4900000000007</v>
      </c>
      <c r="K25" s="15"/>
      <c r="L25" s="15"/>
      <c r="M25" s="15">
        <f t="shared" si="4"/>
        <v>5471.18</v>
      </c>
      <c r="N25" s="15">
        <f>1900.87+159.14</f>
        <v>2060.0099999999998</v>
      </c>
      <c r="O25" s="15">
        <v>0</v>
      </c>
      <c r="P25" s="42">
        <v>17563</v>
      </c>
      <c r="Q25" s="42">
        <v>0</v>
      </c>
      <c r="R25" s="15">
        <f t="shared" si="5"/>
        <v>3730.3500000000004</v>
      </c>
      <c r="S25" s="15">
        <v>0</v>
      </c>
      <c r="T25" s="17">
        <f t="shared" si="0"/>
        <v>46007.75</v>
      </c>
    </row>
    <row r="26" spans="1:21" x14ac:dyDescent="0.2">
      <c r="A26" s="3" t="s">
        <v>46</v>
      </c>
      <c r="B26" s="68">
        <v>38434.68</v>
      </c>
      <c r="C26" s="69"/>
      <c r="D26" s="40">
        <f>26466.88+8554.42+17.37</f>
        <v>35038.670000000006</v>
      </c>
      <c r="E26" s="41"/>
      <c r="F26" s="15">
        <f t="shared" si="1"/>
        <v>2984.28</v>
      </c>
      <c r="G26" s="15">
        <v>3597.4</v>
      </c>
      <c r="H26" s="16">
        <f t="shared" si="2"/>
        <v>3979.0400000000004</v>
      </c>
      <c r="I26" s="15">
        <v>1400</v>
      </c>
      <c r="J26" s="15">
        <f t="shared" si="3"/>
        <v>5222.4900000000007</v>
      </c>
      <c r="K26" s="15"/>
      <c r="L26" s="15"/>
      <c r="M26" s="15">
        <f t="shared" si="4"/>
        <v>5471.18</v>
      </c>
      <c r="N26" s="15">
        <f>3451.01+79.57</f>
        <v>3530.5800000000004</v>
      </c>
      <c r="O26" s="15">
        <v>0</v>
      </c>
      <c r="P26" s="42">
        <v>0</v>
      </c>
      <c r="Q26" s="42">
        <v>0</v>
      </c>
      <c r="R26" s="15">
        <f t="shared" si="5"/>
        <v>3730.3500000000004</v>
      </c>
      <c r="S26" s="15">
        <v>0</v>
      </c>
      <c r="T26" s="17">
        <f t="shared" si="0"/>
        <v>29915.320000000007</v>
      </c>
    </row>
    <row r="27" spans="1:21" ht="48" x14ac:dyDescent="0.2">
      <c r="A27" s="18" t="s">
        <v>47</v>
      </c>
      <c r="B27" s="68">
        <v>0</v>
      </c>
      <c r="C27" s="69"/>
      <c r="D27" s="40">
        <f>900+900+900+900</f>
        <v>3600</v>
      </c>
      <c r="E27" s="26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/>
      <c r="L27" s="15"/>
      <c r="M27" s="15">
        <v>0</v>
      </c>
      <c r="N27" s="15">
        <v>0</v>
      </c>
      <c r="O27" s="15">
        <v>0</v>
      </c>
      <c r="P27" s="42">
        <v>0</v>
      </c>
      <c r="Q27" s="42">
        <v>0</v>
      </c>
      <c r="R27" s="15">
        <v>0</v>
      </c>
      <c r="S27" s="15">
        <v>0</v>
      </c>
      <c r="T27" s="17">
        <v>0</v>
      </c>
    </row>
    <row r="28" spans="1:21" x14ac:dyDescent="0.2">
      <c r="A28" s="19" t="s">
        <v>4</v>
      </c>
      <c r="B28" s="85">
        <f>SUM(B15:B27)</f>
        <v>455006.65</v>
      </c>
      <c r="C28" s="86"/>
      <c r="D28" s="43">
        <f>SUM(D15:D27)</f>
        <v>451113.55</v>
      </c>
      <c r="E28" s="20"/>
      <c r="F28" s="20">
        <f>SUM(F15:F27)</f>
        <v>35811.359999999993</v>
      </c>
      <c r="G28" s="20">
        <f>SUM(G15:G27)</f>
        <v>43168.80000000001</v>
      </c>
      <c r="H28" s="20">
        <f>SUM(H15:H27)</f>
        <v>47748.480000000003</v>
      </c>
      <c r="I28" s="20">
        <f>SUM(I15:I27)</f>
        <v>9100</v>
      </c>
      <c r="J28" s="20">
        <f>SUM(J15:J27)</f>
        <v>62669.88</v>
      </c>
      <c r="K28" s="20"/>
      <c r="L28" s="20"/>
      <c r="M28" s="20">
        <f t="shared" ref="M28:T28" si="6">SUM(M15:M27)</f>
        <v>65654.16</v>
      </c>
      <c r="N28" s="20">
        <f t="shared" si="6"/>
        <v>24537.35</v>
      </c>
      <c r="O28" s="20">
        <f t="shared" si="6"/>
        <v>31116</v>
      </c>
      <c r="P28" s="43">
        <f t="shared" si="6"/>
        <v>42747</v>
      </c>
      <c r="Q28" s="43">
        <f t="shared" si="6"/>
        <v>0</v>
      </c>
      <c r="R28" s="20">
        <f t="shared" si="6"/>
        <v>44764.19999999999</v>
      </c>
      <c r="S28" s="43">
        <f t="shared" si="6"/>
        <v>3128.4200000000005</v>
      </c>
      <c r="T28" s="21">
        <f t="shared" si="6"/>
        <v>410445.65</v>
      </c>
    </row>
    <row r="29" spans="1:21" x14ac:dyDescent="0.2">
      <c r="A29" s="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 t="s">
        <v>13</v>
      </c>
      <c r="R29" s="100">
        <f>SUM(E13+D28-T28)</f>
        <v>-197075.46000000008</v>
      </c>
      <c r="S29" s="100"/>
      <c r="T29" s="100"/>
    </row>
    <row r="30" spans="1:21" x14ac:dyDescent="0.2">
      <c r="A30" s="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64"/>
      <c r="S30" s="64"/>
      <c r="T30" s="64"/>
    </row>
    <row r="31" spans="1:21" x14ac:dyDescent="0.2">
      <c r="A31" s="6"/>
      <c r="B31" s="44"/>
      <c r="C31" s="46"/>
      <c r="D31" s="44"/>
      <c r="E31" s="44"/>
      <c r="F31" s="44"/>
      <c r="G31" s="44"/>
      <c r="H31" s="65"/>
      <c r="I31" s="65"/>
      <c r="J31" s="65"/>
      <c r="K31" s="65"/>
      <c r="L31" s="65"/>
      <c r="M31" s="65"/>
      <c r="N31" s="65"/>
      <c r="O31" s="44"/>
      <c r="P31" s="44"/>
      <c r="Q31" s="44"/>
      <c r="R31" s="44"/>
      <c r="S31" s="44"/>
      <c r="T31" s="47"/>
    </row>
    <row r="32" spans="1:21" x14ac:dyDescent="0.2">
      <c r="A32" s="44" t="s">
        <v>5</v>
      </c>
      <c r="B32" s="72">
        <v>456</v>
      </c>
      <c r="C32" s="72"/>
      <c r="D32" s="44" t="s">
        <v>14</v>
      </c>
      <c r="E32" s="44"/>
      <c r="F32" s="44"/>
      <c r="G32" s="44"/>
      <c r="H32" s="65" t="s">
        <v>2</v>
      </c>
      <c r="I32" s="65">
        <f>3415.36+51.32</f>
        <v>3466.6800000000003</v>
      </c>
      <c r="J32" s="65" t="s">
        <v>73</v>
      </c>
      <c r="K32" s="65"/>
      <c r="L32" s="65"/>
      <c r="M32" s="65" t="s">
        <v>74</v>
      </c>
      <c r="N32" s="65"/>
      <c r="O32" s="44"/>
      <c r="P32" s="44"/>
      <c r="Q32" s="44"/>
      <c r="S32" s="59"/>
      <c r="T32" s="47"/>
    </row>
    <row r="33" spans="1:20" x14ac:dyDescent="0.2">
      <c r="A33" s="6"/>
      <c r="B33" s="72">
        <v>1955</v>
      </c>
      <c r="C33" s="72"/>
      <c r="D33" s="44" t="s">
        <v>65</v>
      </c>
      <c r="E33" s="44"/>
      <c r="F33" s="44"/>
      <c r="G33" s="44"/>
      <c r="H33" s="65" t="s">
        <v>9</v>
      </c>
      <c r="I33" s="65">
        <f>5200.33+159.14</f>
        <v>5359.47</v>
      </c>
      <c r="J33" s="66" t="s">
        <v>77</v>
      </c>
      <c r="K33" s="65"/>
      <c r="L33" s="65"/>
      <c r="M33" s="65" t="s">
        <v>79</v>
      </c>
      <c r="N33" s="65"/>
      <c r="O33" s="44"/>
      <c r="P33" s="44"/>
      <c r="Q33" s="44"/>
      <c r="R33" s="44"/>
      <c r="S33" s="44"/>
      <c r="T33" s="47"/>
    </row>
    <row r="34" spans="1:20" x14ac:dyDescent="0.2">
      <c r="A34" s="6"/>
      <c r="B34" s="44"/>
      <c r="C34" s="46"/>
      <c r="D34" s="44"/>
      <c r="E34" s="44"/>
      <c r="F34" s="44"/>
      <c r="G34" s="44"/>
      <c r="H34" s="65"/>
      <c r="I34" s="65"/>
      <c r="J34" s="65"/>
      <c r="K34" s="65"/>
      <c r="L34" s="65"/>
      <c r="M34" s="67"/>
      <c r="N34" s="65"/>
      <c r="O34" s="60"/>
      <c r="P34" s="60"/>
      <c r="Q34" s="44"/>
      <c r="R34" s="44"/>
      <c r="S34" s="44"/>
      <c r="T34" s="47"/>
    </row>
    <row r="35" spans="1:20" x14ac:dyDescent="0.2">
      <c r="A35" s="44" t="s">
        <v>11</v>
      </c>
      <c r="B35" s="72">
        <v>2072</v>
      </c>
      <c r="C35" s="72"/>
      <c r="D35" s="44" t="s">
        <v>65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</row>
    <row r="36" spans="1:20" x14ac:dyDescent="0.2">
      <c r="A36" s="44"/>
      <c r="B36" s="72">
        <v>1000</v>
      </c>
      <c r="C36" s="72"/>
      <c r="D36" s="44" t="s">
        <v>78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</row>
    <row r="37" spans="1:20" x14ac:dyDescent="0.2">
      <c r="A37" s="44"/>
      <c r="B37" s="72">
        <v>4133</v>
      </c>
      <c r="C37" s="72"/>
      <c r="D37" s="44" t="s">
        <v>12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</row>
    <row r="38" spans="1:20" x14ac:dyDescent="0.2">
      <c r="A38" s="44"/>
      <c r="B38" s="63"/>
      <c r="C38" s="6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</row>
    <row r="39" spans="1:20" x14ac:dyDescent="0.2">
      <c r="A39" s="44"/>
      <c r="B39" s="63"/>
      <c r="C39" s="6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</row>
    <row r="40" spans="1:20" x14ac:dyDescent="0.2">
      <c r="A40" s="44"/>
      <c r="B40" s="63"/>
      <c r="C40" s="6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</row>
    <row r="41" spans="1:20" x14ac:dyDescent="0.2">
      <c r="A41" s="44"/>
      <c r="B41" s="63"/>
      <c r="C41" s="6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</row>
    <row r="42" spans="1:20" x14ac:dyDescent="0.2">
      <c r="A42" s="44"/>
      <c r="B42" s="63"/>
      <c r="C42" s="6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</row>
    <row r="43" spans="1:20" x14ac:dyDescent="0.2">
      <c r="A43" s="44"/>
      <c r="B43" s="62"/>
      <c r="C43" s="62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</row>
    <row r="44" spans="1:20" x14ac:dyDescent="0.2">
      <c r="C44" s="48"/>
      <c r="R44" s="127"/>
      <c r="S44" s="127"/>
      <c r="T44" s="127"/>
    </row>
    <row r="45" spans="1:20" ht="15" x14ac:dyDescent="0.25">
      <c r="A45" s="128" t="s">
        <v>48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</row>
    <row r="46" spans="1:20" ht="12.75" customHeight="1" x14ac:dyDescent="0.2">
      <c r="A46" s="129" t="s">
        <v>49</v>
      </c>
      <c r="B46" s="130"/>
      <c r="C46" s="133" t="s">
        <v>6</v>
      </c>
      <c r="D46" s="134"/>
      <c r="E46" s="134"/>
      <c r="F46" s="134"/>
      <c r="G46" s="134"/>
      <c r="H46" s="134"/>
      <c r="I46" s="134"/>
      <c r="J46" s="134"/>
      <c r="K46" s="135"/>
      <c r="L46" s="139" t="s">
        <v>50</v>
      </c>
      <c r="M46" s="140"/>
      <c r="N46" s="141"/>
      <c r="O46" s="145" t="s">
        <v>51</v>
      </c>
      <c r="P46" s="145"/>
      <c r="Q46" s="129" t="s">
        <v>52</v>
      </c>
      <c r="R46" s="130"/>
      <c r="S46" s="49"/>
      <c r="T46" s="145" t="s">
        <v>53</v>
      </c>
    </row>
    <row r="47" spans="1:20" x14ac:dyDescent="0.2">
      <c r="A47" s="131"/>
      <c r="B47" s="132"/>
      <c r="C47" s="136"/>
      <c r="D47" s="137"/>
      <c r="E47" s="137"/>
      <c r="F47" s="137"/>
      <c r="G47" s="137"/>
      <c r="H47" s="137"/>
      <c r="I47" s="137"/>
      <c r="J47" s="137"/>
      <c r="K47" s="138"/>
      <c r="L47" s="142"/>
      <c r="M47" s="143"/>
      <c r="N47" s="144"/>
      <c r="O47" s="146"/>
      <c r="P47" s="146"/>
      <c r="Q47" s="131"/>
      <c r="R47" s="132"/>
      <c r="S47" s="50"/>
      <c r="T47" s="146"/>
    </row>
    <row r="48" spans="1:20" ht="12.75" customHeight="1" x14ac:dyDescent="0.2">
      <c r="A48" s="147"/>
      <c r="B48" s="148"/>
      <c r="C48" s="149" t="s">
        <v>54</v>
      </c>
      <c r="D48" s="150"/>
      <c r="E48" s="150"/>
      <c r="F48" s="150"/>
      <c r="G48" s="150"/>
      <c r="H48" s="150"/>
      <c r="I48" s="150"/>
      <c r="J48" s="150"/>
      <c r="K48" s="151"/>
      <c r="L48" s="152"/>
      <c r="M48" s="153"/>
      <c r="N48" s="154"/>
      <c r="O48" s="5"/>
      <c r="P48" s="5"/>
      <c r="Q48" s="155"/>
      <c r="R48" s="156"/>
      <c r="S48" s="51"/>
      <c r="T48" s="5"/>
    </row>
    <row r="49" spans="1:20" ht="12.75" customHeight="1" x14ac:dyDescent="0.2">
      <c r="A49" s="147"/>
      <c r="B49" s="148"/>
      <c r="C49" s="149" t="s">
        <v>55</v>
      </c>
      <c r="D49" s="150"/>
      <c r="E49" s="150"/>
      <c r="F49" s="150"/>
      <c r="G49" s="150"/>
      <c r="H49" s="150"/>
      <c r="I49" s="150"/>
      <c r="J49" s="150"/>
      <c r="K49" s="151"/>
      <c r="L49" s="157" t="s">
        <v>72</v>
      </c>
      <c r="M49" s="158"/>
      <c r="N49" s="159"/>
      <c r="O49" s="22">
        <v>0.05</v>
      </c>
      <c r="P49" s="23"/>
      <c r="Q49" s="106">
        <f>SUM(O49*2002.5*12)</f>
        <v>1201.5</v>
      </c>
      <c r="R49" s="108"/>
      <c r="S49" s="30"/>
      <c r="T49" s="22"/>
    </row>
    <row r="50" spans="1:20" ht="12.75" customHeight="1" x14ac:dyDescent="0.2">
      <c r="A50" s="147"/>
      <c r="B50" s="148"/>
      <c r="C50" s="149" t="s">
        <v>56</v>
      </c>
      <c r="D50" s="150"/>
      <c r="E50" s="150"/>
      <c r="F50" s="150"/>
      <c r="G50" s="150"/>
      <c r="H50" s="150"/>
      <c r="I50" s="150"/>
      <c r="J50" s="150"/>
      <c r="K50" s="151"/>
      <c r="L50" s="157" t="s">
        <v>72</v>
      </c>
      <c r="M50" s="158"/>
      <c r="N50" s="159"/>
      <c r="O50" s="22">
        <v>0.05</v>
      </c>
      <c r="P50" s="23"/>
      <c r="Q50" s="106">
        <f t="shared" ref="Q50:Q55" si="7">SUM(O50*2002.5*12)</f>
        <v>1201.5</v>
      </c>
      <c r="R50" s="108"/>
      <c r="S50" s="30"/>
      <c r="T50" s="22"/>
    </row>
    <row r="51" spans="1:20" ht="12.75" customHeight="1" x14ac:dyDescent="0.2">
      <c r="A51" s="147"/>
      <c r="B51" s="148"/>
      <c r="C51" s="149" t="s">
        <v>57</v>
      </c>
      <c r="D51" s="150"/>
      <c r="E51" s="150"/>
      <c r="F51" s="150"/>
      <c r="G51" s="150"/>
      <c r="H51" s="150"/>
      <c r="I51" s="150"/>
      <c r="J51" s="150"/>
      <c r="K51" s="151"/>
      <c r="L51" s="157" t="s">
        <v>58</v>
      </c>
      <c r="M51" s="158"/>
      <c r="N51" s="159"/>
      <c r="O51" s="22">
        <v>0.15</v>
      </c>
      <c r="P51" s="23"/>
      <c r="Q51" s="106">
        <f t="shared" si="7"/>
        <v>3604.5</v>
      </c>
      <c r="R51" s="108"/>
      <c r="S51" s="30"/>
      <c r="T51" s="22"/>
    </row>
    <row r="52" spans="1:20" ht="12.75" customHeight="1" x14ac:dyDescent="0.2">
      <c r="A52" s="106"/>
      <c r="B52" s="108"/>
      <c r="C52" s="168" t="s">
        <v>59</v>
      </c>
      <c r="D52" s="169"/>
      <c r="E52" s="169"/>
      <c r="F52" s="169"/>
      <c r="G52" s="169"/>
      <c r="H52" s="169"/>
      <c r="I52" s="169"/>
      <c r="J52" s="169"/>
      <c r="K52" s="170"/>
      <c r="L52" s="157" t="s">
        <v>72</v>
      </c>
      <c r="M52" s="158"/>
      <c r="N52" s="159"/>
      <c r="O52" s="2">
        <v>0.15</v>
      </c>
      <c r="P52" s="2"/>
      <c r="Q52" s="106">
        <f t="shared" si="7"/>
        <v>3604.5</v>
      </c>
      <c r="R52" s="108"/>
      <c r="S52" s="30"/>
      <c r="T52" s="2"/>
    </row>
    <row r="53" spans="1:20" x14ac:dyDescent="0.2">
      <c r="A53" s="106"/>
      <c r="B53" s="108"/>
      <c r="C53" s="165" t="s">
        <v>60</v>
      </c>
      <c r="D53" s="166"/>
      <c r="E53" s="166"/>
      <c r="F53" s="166"/>
      <c r="G53" s="166"/>
      <c r="H53" s="166"/>
      <c r="I53" s="166"/>
      <c r="J53" s="166"/>
      <c r="K53" s="167"/>
      <c r="L53" s="160" t="s">
        <v>61</v>
      </c>
      <c r="M53" s="161"/>
      <c r="N53" s="162"/>
      <c r="O53" s="2">
        <v>0.25</v>
      </c>
      <c r="P53" s="2"/>
      <c r="Q53" s="106">
        <f t="shared" si="7"/>
        <v>6007.5</v>
      </c>
      <c r="R53" s="108"/>
      <c r="S53" s="30"/>
      <c r="T53" s="2"/>
    </row>
    <row r="54" spans="1:20" x14ac:dyDescent="0.2">
      <c r="A54" s="106"/>
      <c r="B54" s="108"/>
      <c r="C54" s="165" t="s">
        <v>62</v>
      </c>
      <c r="D54" s="166"/>
      <c r="E54" s="166"/>
      <c r="F54" s="166"/>
      <c r="G54" s="166"/>
      <c r="H54" s="166"/>
      <c r="I54" s="166"/>
      <c r="J54" s="166"/>
      <c r="K54" s="167"/>
      <c r="L54" s="160" t="s">
        <v>61</v>
      </c>
      <c r="M54" s="161"/>
      <c r="N54" s="162"/>
      <c r="O54" s="2">
        <v>0.1</v>
      </c>
      <c r="P54" s="24"/>
      <c r="Q54" s="106">
        <f t="shared" si="7"/>
        <v>2403</v>
      </c>
      <c r="R54" s="108"/>
      <c r="S54" s="30"/>
      <c r="T54" s="2"/>
    </row>
    <row r="55" spans="1:20" ht="12.75" customHeight="1" x14ac:dyDescent="0.2">
      <c r="A55" s="106"/>
      <c r="B55" s="108"/>
      <c r="C55" s="168" t="s">
        <v>63</v>
      </c>
      <c r="D55" s="169"/>
      <c r="E55" s="169"/>
      <c r="F55" s="169"/>
      <c r="G55" s="169"/>
      <c r="H55" s="169"/>
      <c r="I55" s="169"/>
      <c r="J55" s="169"/>
      <c r="K55" s="170"/>
      <c r="L55" s="160" t="s">
        <v>61</v>
      </c>
      <c r="M55" s="161"/>
      <c r="N55" s="162"/>
      <c r="O55" s="2">
        <v>0.25</v>
      </c>
      <c r="P55" s="2"/>
      <c r="Q55" s="106">
        <f t="shared" si="7"/>
        <v>6007.5</v>
      </c>
      <c r="R55" s="108"/>
      <c r="S55" s="30"/>
      <c r="T55" s="2"/>
    </row>
    <row r="56" spans="1:20" x14ac:dyDescent="0.2">
      <c r="E56" s="52" t="s">
        <v>64</v>
      </c>
      <c r="F56" s="53"/>
      <c r="G56" s="53"/>
      <c r="H56" s="53"/>
      <c r="I56" s="53"/>
      <c r="J56" s="53"/>
      <c r="K56" s="53"/>
      <c r="L56" s="53"/>
      <c r="M56" s="53"/>
      <c r="N56" s="53"/>
      <c r="O56" s="54">
        <f>SUM(O49:O55)</f>
        <v>1</v>
      </c>
      <c r="P56" s="55"/>
      <c r="Q56" s="106">
        <f>SUM(Q49:Q55)</f>
        <v>24030</v>
      </c>
      <c r="R56" s="108"/>
      <c r="S56" s="30"/>
      <c r="T56" s="2"/>
    </row>
  </sheetData>
  <mergeCells count="95">
    <mergeCell ref="Q56:R56"/>
    <mergeCell ref="A13:D13"/>
    <mergeCell ref="A54:B54"/>
    <mergeCell ref="C54:K54"/>
    <mergeCell ref="L54:N54"/>
    <mergeCell ref="Q54:R54"/>
    <mergeCell ref="A55:B55"/>
    <mergeCell ref="C55:K55"/>
    <mergeCell ref="L55:N55"/>
    <mergeCell ref="Q55:R55"/>
    <mergeCell ref="A52:B52"/>
    <mergeCell ref="C52:K52"/>
    <mergeCell ref="L52:N52"/>
    <mergeCell ref="Q52:R52"/>
    <mergeCell ref="A53:B53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B26:C26"/>
    <mergeCell ref="R44:T44"/>
    <mergeCell ref="A45:T45"/>
    <mergeCell ref="A46:B47"/>
    <mergeCell ref="C46:K47"/>
    <mergeCell ref="L46:N47"/>
    <mergeCell ref="O46:O47"/>
    <mergeCell ref="P46:P47"/>
    <mergeCell ref="Q46:R47"/>
    <mergeCell ref="T46:T47"/>
    <mergeCell ref="B35:C35"/>
    <mergeCell ref="B36:C36"/>
    <mergeCell ref="B37:C37"/>
    <mergeCell ref="F5:F6"/>
    <mergeCell ref="R29:T29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B5:B6"/>
    <mergeCell ref="C5:C6"/>
    <mergeCell ref="B19:C19"/>
    <mergeCell ref="B20:C20"/>
    <mergeCell ref="B15:C15"/>
    <mergeCell ref="B27:C27"/>
    <mergeCell ref="B28:C28"/>
    <mergeCell ref="M5:M6"/>
    <mergeCell ref="N5:O5"/>
    <mergeCell ref="B8:D8"/>
    <mergeCell ref="B9:D9"/>
    <mergeCell ref="A10:D10"/>
    <mergeCell ref="F10:O10"/>
    <mergeCell ref="H5:H6"/>
    <mergeCell ref="I5:I6"/>
    <mergeCell ref="J5:J6"/>
    <mergeCell ref="K5:K6"/>
    <mergeCell ref="L5:L6"/>
    <mergeCell ref="D5:D6"/>
    <mergeCell ref="E5:E6"/>
    <mergeCell ref="B16:C16"/>
    <mergeCell ref="G5:G6"/>
    <mergeCell ref="B32:C32"/>
    <mergeCell ref="B33:C33"/>
    <mergeCell ref="P10:Q10"/>
    <mergeCell ref="A11:E11"/>
    <mergeCell ref="A12:E12"/>
    <mergeCell ref="F12:T12"/>
    <mergeCell ref="B24:C24"/>
    <mergeCell ref="B25:C25"/>
    <mergeCell ref="B21:C21"/>
    <mergeCell ref="B22:C22"/>
    <mergeCell ref="B23:C23"/>
    <mergeCell ref="B17:C17"/>
    <mergeCell ref="B18:C18"/>
    <mergeCell ref="B14:C14"/>
  </mergeCells>
  <pageMargins left="9.375E-2" right="2.0833333333333332E-2" top="0.125" bottom="1.0416666666666666E-2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2017-08-07T06:21:56Z</cp:lastPrinted>
  <dcterms:created xsi:type="dcterms:W3CDTF">2007-02-04T12:22:59Z</dcterms:created>
  <dcterms:modified xsi:type="dcterms:W3CDTF">2018-02-07T05:46:17Z</dcterms:modified>
</cp:coreProperties>
</file>