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7" sheetId="1" r:id="rId1"/>
  </sheets>
  <definedNames>
    <definedName name="_xlnm.Print_Area" localSheetId="0">'2017'!$B$32:$O$41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90,21-эл-во
3181,84-х/в</t>
        </r>
      </text>
    </comment>
    <comment ref="N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769,8-х/в</t>
        </r>
      </text>
    </commen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153,96-х/в</t>
        </r>
      </text>
    </comment>
    <comment ref="N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3279,57-эл-во
667,16-х/в</t>
        </r>
      </text>
    </comment>
    <comment ref="O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</t>
        </r>
      </text>
    </commen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1200-дуст+дихлофос
600-дуст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79,57-х/в
1082,54-эл-во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4081,93р-эл-во
153,96р-х/в</t>
        </r>
      </text>
    </comment>
    <comment ref="N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159,14-х/в
1436,23-эл-во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2000-испытание водоподогревателя
5037-дезинсекция тараканов</t>
        </r>
      </text>
    </comment>
    <comment ref="O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3280-отрава для крыс,дихлофос,замок навесной</t>
        </r>
      </text>
    </comment>
  </commentList>
</comments>
</file>

<file path=xl/sharedStrings.xml><?xml version="1.0" encoding="utf-8"?>
<sst xmlns="http://schemas.openxmlformats.org/spreadsheetml/2006/main" count="90" uniqueCount="81">
  <si>
    <t>Содержание</t>
  </si>
  <si>
    <t>ремонт</t>
  </si>
  <si>
    <t>итого</t>
  </si>
  <si>
    <t>июль</t>
  </si>
  <si>
    <t>август</t>
  </si>
  <si>
    <t>Наименование работ</t>
  </si>
  <si>
    <t>ИТОГО</t>
  </si>
  <si>
    <t>Богданова</t>
  </si>
  <si>
    <t>ноябрь</t>
  </si>
  <si>
    <t>декабрь</t>
  </si>
  <si>
    <t>март</t>
  </si>
  <si>
    <t>май</t>
  </si>
  <si>
    <t>июнь</t>
  </si>
  <si>
    <t>начислено</t>
  </si>
  <si>
    <t>оплачено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</si>
  <si>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</si>
  <si>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</si>
  <si>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</si>
  <si>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</si>
  <si>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</si>
  <si>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</si>
  <si>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</si>
  <si>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</si>
  <si>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</si>
  <si>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</si>
  <si>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</si>
  <si>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</si>
  <si>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</si>
  <si>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</si>
  <si>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</si>
  <si>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</si>
  <si>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</si>
  <si>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</si>
  <si>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</si>
  <si>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</si>
  <si>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</si>
  <si>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</si>
  <si>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</si>
  <si>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</si>
  <si>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</si>
  <si>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</si>
  <si>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</si>
  <si>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</si>
  <si>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</si>
  <si>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</si>
  <si>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</si>
  <si>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</si>
  <si>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</si>
  <si>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</si>
  <si>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</si>
  <si>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</si>
  <si>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</si>
  <si>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</si>
  <si>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</si>
  <si>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</si>
  <si>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</si>
  <si>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необходи-мости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</si>
  <si>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</si>
  <si>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</si>
  <si>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</si>
  <si>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</si>
  <si>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</si>
  <si>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</si>
  <si>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</si>
  <si>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</si>
  <si>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</si>
  <si>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</si>
  <si>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покос</t>
  </si>
  <si>
    <t>Информация о доходах и расходах по дому __Гагарина 234__на 2017год.</t>
  </si>
  <si>
    <t>оплата коммунальных ресурсов на содержание ОДИ</t>
  </si>
  <si>
    <t>1 полугодие</t>
  </si>
  <si>
    <t>2 полугодие</t>
  </si>
  <si>
    <t>5374,77-эл-во</t>
  </si>
  <si>
    <t>307,92-х/в</t>
  </si>
  <si>
    <t>Непредвиденные затраты</t>
  </si>
  <si>
    <t>услуги сторонних организаций, разовые работы</t>
  </si>
  <si>
    <t>дуст+дихлофос</t>
  </si>
  <si>
    <t>дуст</t>
  </si>
  <si>
    <t>испытание водоподогревателя</t>
  </si>
  <si>
    <t>дезинсекция тараканов</t>
  </si>
  <si>
    <t>отрава для крыс,дихлофос,замок навесной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</si>
</sst>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0.000"/>
    <numFmt numFmtId="191" formatCode="#,##0.000_р_."/>
    <numFmt numFmtId="192" formatCode="#,##0.0_р_."/>
    <numFmt numFmtId="193" formatCode="#,##0.00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&quot;р.&quot;"/>
  </numFmts>
  <fonts count="5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8" fillId="33" borderId="11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wrapText="1"/>
    </xf>
    <xf numFmtId="2" fontId="8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/>
    </xf>
    <xf numFmtId="2" fontId="5" fillId="13" borderId="14" xfId="0" applyNumberFormat="1" applyFont="1" applyFill="1" applyBorder="1" applyAlignment="1">
      <alignment horizontal="center" vertical="top" wrapText="1"/>
    </xf>
    <xf numFmtId="2" fontId="5" fillId="13" borderId="15" xfId="0" applyNumberFormat="1" applyFont="1" applyFill="1" applyBorder="1" applyAlignment="1">
      <alignment horizontal="center" vertical="top" wrapText="1"/>
    </xf>
    <xf numFmtId="2" fontId="5" fillId="13" borderId="16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89" fontId="5" fillId="13" borderId="10" xfId="0" applyNumberFormat="1" applyFont="1" applyFill="1" applyBorder="1" applyAlignment="1">
      <alignment/>
    </xf>
    <xf numFmtId="189" fontId="5" fillId="13" borderId="13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189" fontId="11" fillId="35" borderId="10" xfId="0" applyNumberFormat="1" applyFont="1" applyFill="1" applyBorder="1" applyAlignment="1">
      <alignment/>
    </xf>
    <xf numFmtId="189" fontId="11" fillId="7" borderId="1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2" fontId="2" fillId="13" borderId="17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2" fontId="5" fillId="0" borderId="13" xfId="0" applyNumberFormat="1" applyFont="1" applyBorder="1" applyAlignment="1">
      <alignment vertical="top" textRotation="90" wrapText="1"/>
    </xf>
    <xf numFmtId="2" fontId="5" fillId="0" borderId="13" xfId="0" applyNumberFormat="1" applyFont="1" applyBorder="1" applyAlignment="1">
      <alignment horizontal="center" vertical="top"/>
    </xf>
    <xf numFmtId="2" fontId="8" fillId="33" borderId="16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189" fontId="11" fillId="10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189" fontId="5" fillId="9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1" fillId="13" borderId="10" xfId="0" applyNumberFormat="1" applyFont="1" applyFill="1" applyBorder="1" applyAlignment="1">
      <alignment/>
    </xf>
    <xf numFmtId="4" fontId="12" fillId="35" borderId="10" xfId="0" applyNumberFormat="1" applyFont="1" applyFill="1" applyBorder="1" applyAlignment="1">
      <alignment/>
    </xf>
    <xf numFmtId="189" fontId="11" fillId="0" borderId="0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/>
    </xf>
    <xf numFmtId="189" fontId="50" fillId="0" borderId="0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 horizontal="center" textRotation="90" wrapText="1"/>
    </xf>
    <xf numFmtId="2" fontId="5" fillId="0" borderId="20" xfId="0" applyNumberFormat="1" applyFont="1" applyBorder="1" applyAlignment="1">
      <alignment horizontal="center" textRotation="90" wrapText="1"/>
    </xf>
    <xf numFmtId="2" fontId="5" fillId="0" borderId="13" xfId="0" applyNumberFormat="1" applyFont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6" borderId="10" xfId="0" applyFont="1" applyFill="1" applyBorder="1" applyAlignment="1">
      <alignment horizontal="center" wrapText="1"/>
    </xf>
    <xf numFmtId="189" fontId="5" fillId="4" borderId="17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9" fontId="5" fillId="4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51" fillId="0" borderId="17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1" fillId="0" borderId="17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1" fillId="0" borderId="15" xfId="0" applyFont="1" applyBorder="1" applyAlignment="1">
      <alignment horizontal="center"/>
    </xf>
    <xf numFmtId="2" fontId="5" fillId="0" borderId="12" xfId="0" applyNumberFormat="1" applyFont="1" applyBorder="1" applyAlignment="1">
      <alignment horizontal="left" vertical="top" textRotation="90"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6" fillId="0" borderId="17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left" wrapText="1"/>
    </xf>
    <xf numFmtId="2" fontId="8" fillId="0" borderId="18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9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0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168" fontId="5" fillId="0" borderId="0" xfId="0" applyNumberFormat="1" applyFont="1" applyFill="1" applyBorder="1" applyAlignment="1">
      <alignment horizontal="center"/>
    </xf>
    <xf numFmtId="189" fontId="5" fillId="0" borderId="0" xfId="0" applyNumberFormat="1" applyFont="1" applyFill="1" applyBorder="1" applyAlignment="1">
      <alignment horizontal="center"/>
    </xf>
    <xf numFmtId="189" fontId="9" fillId="0" borderId="22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4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189" fontId="5" fillId="35" borderId="17" xfId="0" applyNumberFormat="1" applyFont="1" applyFill="1" applyBorder="1" applyAlignment="1">
      <alignment horizontal="center"/>
    </xf>
    <xf numFmtId="189" fontId="5" fillId="35" borderId="1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V57"/>
  <sheetViews>
    <sheetView tabSelected="1" workbookViewId="0" topLeftCell="A1">
      <selection activeCell="U27" sqref="U27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3.7109375" style="0" customWidth="1"/>
    <col min="4" max="4" width="8.421875" style="0" customWidth="1"/>
    <col min="5" max="5" width="8.140625" style="0" customWidth="1"/>
    <col min="9" max="9" width="9.57421875" style="0" customWidth="1"/>
    <col min="10" max="10" width="9.140625" style="0" customWidth="1"/>
    <col min="11" max="12" width="9.140625" style="0" hidden="1" customWidth="1"/>
    <col min="14" max="14" width="8.8515625" style="0" customWidth="1"/>
    <col min="15" max="15" width="9.7109375" style="0" customWidth="1"/>
    <col min="16" max="16" width="7.28125" style="0" customWidth="1"/>
    <col min="17" max="17" width="8.28125" style="0" customWidth="1"/>
    <col min="19" max="19" width="8.421875" style="0" customWidth="1"/>
    <col min="20" max="20" width="7.28125" style="0" customWidth="1"/>
    <col min="22" max="22" width="9.7109375" style="0" bestFit="1" customWidth="1"/>
  </cols>
  <sheetData>
    <row r="1" spans="1:20" ht="11.25" customHeight="1">
      <c r="A1" s="136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4.25" customHeight="1">
      <c r="A3" s="138"/>
      <c r="B3" s="139"/>
      <c r="C3" s="139"/>
      <c r="D3" s="139"/>
      <c r="E3" s="140"/>
      <c r="F3" s="67" t="s">
        <v>16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68"/>
      <c r="S3" s="44"/>
      <c r="T3" s="1"/>
    </row>
    <row r="4" spans="1:20" ht="12.75" customHeight="1">
      <c r="A4" s="3"/>
      <c r="B4" s="142" t="s">
        <v>17</v>
      </c>
      <c r="C4" s="143"/>
      <c r="D4" s="143"/>
      <c r="E4" s="144"/>
      <c r="F4" s="145" t="s">
        <v>0</v>
      </c>
      <c r="G4" s="146"/>
      <c r="H4" s="146"/>
      <c r="I4" s="146"/>
      <c r="J4" s="146"/>
      <c r="K4" s="146"/>
      <c r="L4" s="146"/>
      <c r="M4" s="146"/>
      <c r="N4" s="146"/>
      <c r="O4" s="146"/>
      <c r="P4" s="147" t="s">
        <v>18</v>
      </c>
      <c r="Q4" s="148"/>
      <c r="R4" s="151" t="s">
        <v>19</v>
      </c>
      <c r="S4" s="64" t="s">
        <v>74</v>
      </c>
      <c r="T4" s="129" t="s">
        <v>6</v>
      </c>
    </row>
    <row r="5" spans="1:20" ht="50.25" customHeight="1">
      <c r="A5" s="4"/>
      <c r="B5" s="132" t="s">
        <v>20</v>
      </c>
      <c r="C5" s="132" t="s">
        <v>1</v>
      </c>
      <c r="D5" s="132" t="s">
        <v>21</v>
      </c>
      <c r="E5" s="134" t="s">
        <v>2</v>
      </c>
      <c r="F5" s="118" t="s">
        <v>22</v>
      </c>
      <c r="G5" s="118" t="s">
        <v>23</v>
      </c>
      <c r="H5" s="118" t="s">
        <v>24</v>
      </c>
      <c r="I5" s="118" t="s">
        <v>25</v>
      </c>
      <c r="J5" s="118" t="s">
        <v>26</v>
      </c>
      <c r="K5" s="118" t="s">
        <v>27</v>
      </c>
      <c r="L5" s="118" t="s">
        <v>28</v>
      </c>
      <c r="M5" s="118" t="s">
        <v>29</v>
      </c>
      <c r="N5" s="126" t="s">
        <v>30</v>
      </c>
      <c r="O5" s="128"/>
      <c r="P5" s="149"/>
      <c r="Q5" s="150"/>
      <c r="R5" s="152"/>
      <c r="S5" s="65"/>
      <c r="T5" s="130"/>
    </row>
    <row r="6" spans="1:20" ht="114" customHeight="1">
      <c r="A6" s="6"/>
      <c r="B6" s="133"/>
      <c r="C6" s="133"/>
      <c r="D6" s="133"/>
      <c r="E6" s="135"/>
      <c r="F6" s="119"/>
      <c r="G6" s="119"/>
      <c r="H6" s="119"/>
      <c r="I6" s="119"/>
      <c r="J6" s="119"/>
      <c r="K6" s="119"/>
      <c r="L6" s="119"/>
      <c r="M6" s="119"/>
      <c r="N6" s="48" t="s">
        <v>69</v>
      </c>
      <c r="O6" s="48" t="s">
        <v>75</v>
      </c>
      <c r="P6" s="5" t="s">
        <v>31</v>
      </c>
      <c r="Q6" s="5" t="s">
        <v>32</v>
      </c>
      <c r="R6" s="153"/>
      <c r="S6" s="66"/>
      <c r="T6" s="131"/>
    </row>
    <row r="7" spans="1:20" ht="12.75" customHeight="1">
      <c r="A7" s="7">
        <v>2016</v>
      </c>
      <c r="B7" s="49">
        <v>11.9</v>
      </c>
      <c r="C7" s="49">
        <v>4.1</v>
      </c>
      <c r="D7" s="49">
        <v>1</v>
      </c>
      <c r="E7" s="9">
        <f>SUM(B7:D7)</f>
        <v>17</v>
      </c>
      <c r="F7" s="35">
        <v>1.07</v>
      </c>
      <c r="G7" s="35">
        <v>1.57</v>
      </c>
      <c r="H7" s="35">
        <v>1.5</v>
      </c>
      <c r="I7" s="35">
        <v>1.21</v>
      </c>
      <c r="J7" s="35">
        <v>3.76</v>
      </c>
      <c r="K7" s="35">
        <v>0</v>
      </c>
      <c r="L7" s="35">
        <v>0</v>
      </c>
      <c r="M7" s="35">
        <v>1.79</v>
      </c>
      <c r="N7" s="35">
        <v>2.76</v>
      </c>
      <c r="O7" s="35">
        <v>1</v>
      </c>
      <c r="P7" s="36">
        <v>2.05</v>
      </c>
      <c r="Q7" s="36">
        <v>2.05</v>
      </c>
      <c r="R7" s="37">
        <v>1</v>
      </c>
      <c r="S7" s="37">
        <v>0</v>
      </c>
      <c r="T7" s="8">
        <f>F7+G7+H7+I7+J7+M7+O7+P7+Q7+R7</f>
        <v>17</v>
      </c>
    </row>
    <row r="8" spans="1:20" ht="12.75" customHeight="1">
      <c r="A8" s="7">
        <v>2017</v>
      </c>
      <c r="B8" s="120" t="s">
        <v>70</v>
      </c>
      <c r="C8" s="121"/>
      <c r="D8" s="122"/>
      <c r="E8" s="9">
        <v>19.76</v>
      </c>
      <c r="F8" s="57">
        <v>1.07</v>
      </c>
      <c r="G8" s="57">
        <v>1.57</v>
      </c>
      <c r="H8" s="57">
        <v>1.5</v>
      </c>
      <c r="I8" s="57">
        <v>1.21</v>
      </c>
      <c r="J8" s="57">
        <v>3.76</v>
      </c>
      <c r="K8" s="57"/>
      <c r="L8" s="57"/>
      <c r="M8" s="57">
        <v>1.79</v>
      </c>
      <c r="N8" s="57">
        <v>2.76</v>
      </c>
      <c r="O8" s="57">
        <v>1</v>
      </c>
      <c r="P8" s="36">
        <v>2.05</v>
      </c>
      <c r="Q8" s="50">
        <v>2.05</v>
      </c>
      <c r="R8" s="37">
        <v>1</v>
      </c>
      <c r="S8" s="37">
        <v>0</v>
      </c>
      <c r="T8" s="8">
        <f>SUM(F8:R8)</f>
        <v>19.759999999999998</v>
      </c>
    </row>
    <row r="9" spans="1:20" ht="12.75" customHeight="1">
      <c r="A9" s="7">
        <v>2017</v>
      </c>
      <c r="B9" s="120" t="s">
        <v>71</v>
      </c>
      <c r="C9" s="121"/>
      <c r="D9" s="122"/>
      <c r="E9" s="9">
        <v>18.15</v>
      </c>
      <c r="F9" s="57">
        <v>1.07</v>
      </c>
      <c r="G9" s="57">
        <v>1.57</v>
      </c>
      <c r="H9" s="57">
        <v>1.5</v>
      </c>
      <c r="I9" s="57">
        <v>1.21</v>
      </c>
      <c r="J9" s="57">
        <v>3.76</v>
      </c>
      <c r="K9" s="57"/>
      <c r="L9" s="57"/>
      <c r="M9" s="57">
        <v>1.79</v>
      </c>
      <c r="N9" s="57">
        <v>1.15</v>
      </c>
      <c r="O9" s="57">
        <v>1</v>
      </c>
      <c r="P9" s="36">
        <v>2.05</v>
      </c>
      <c r="Q9" s="50">
        <v>2.05</v>
      </c>
      <c r="R9" s="37">
        <v>1</v>
      </c>
      <c r="S9" s="37">
        <v>0</v>
      </c>
      <c r="T9" s="8">
        <f>SUM(F9:S9)</f>
        <v>18.15</v>
      </c>
    </row>
    <row r="10" spans="1:20" ht="22.5" customHeight="1">
      <c r="A10" s="123" t="s">
        <v>33</v>
      </c>
      <c r="B10" s="124"/>
      <c r="C10" s="124"/>
      <c r="D10" s="125"/>
      <c r="E10" s="9">
        <v>1868.2</v>
      </c>
      <c r="F10" s="126" t="s">
        <v>34</v>
      </c>
      <c r="G10" s="127"/>
      <c r="H10" s="127"/>
      <c r="I10" s="127"/>
      <c r="J10" s="127"/>
      <c r="K10" s="127"/>
      <c r="L10" s="127"/>
      <c r="M10" s="127"/>
      <c r="N10" s="127"/>
      <c r="O10" s="128"/>
      <c r="P10" s="157" t="s">
        <v>35</v>
      </c>
      <c r="Q10" s="158"/>
      <c r="R10" s="8" t="s">
        <v>36</v>
      </c>
      <c r="S10" s="8"/>
      <c r="T10" s="8"/>
    </row>
    <row r="11" spans="1:21" ht="12.75" customHeight="1">
      <c r="A11" s="113" t="s">
        <v>37</v>
      </c>
      <c r="B11" s="114"/>
      <c r="C11" s="114"/>
      <c r="D11" s="114"/>
      <c r="E11" s="115"/>
      <c r="F11" s="10">
        <f>E10*F7</f>
        <v>1998.9740000000002</v>
      </c>
      <c r="G11" s="10">
        <f>E10*G7</f>
        <v>2933.074</v>
      </c>
      <c r="H11" s="10">
        <f>E10*H8</f>
        <v>2802.3</v>
      </c>
      <c r="I11" s="10">
        <f>E10*I7</f>
        <v>2260.522</v>
      </c>
      <c r="J11" s="10">
        <f>E10*J7</f>
        <v>7024.432</v>
      </c>
      <c r="K11" s="10">
        <f>SUM(K7*2002.5)</f>
        <v>0</v>
      </c>
      <c r="L11" s="10">
        <f>SUM(L7*2002.5)</f>
        <v>0</v>
      </c>
      <c r="M11" s="10">
        <f>E10*M7</f>
        <v>3344.078</v>
      </c>
      <c r="N11" s="10">
        <f>N9*E10</f>
        <v>2148.43</v>
      </c>
      <c r="O11" s="10">
        <f>E10*O7</f>
        <v>1868.2</v>
      </c>
      <c r="P11" s="10">
        <f>E10*P7</f>
        <v>3829.81</v>
      </c>
      <c r="Q11" s="10">
        <f>E10*Q7</f>
        <v>3829.81</v>
      </c>
      <c r="R11" s="10">
        <f>E10*R7</f>
        <v>1868.2</v>
      </c>
      <c r="S11" s="10">
        <v>0</v>
      </c>
      <c r="T11" s="10">
        <f>SUM(F11:R11)</f>
        <v>33907.83</v>
      </c>
      <c r="U11" s="2"/>
    </row>
    <row r="12" spans="1:20" ht="12.75" customHeight="1">
      <c r="A12" s="159" t="s">
        <v>14</v>
      </c>
      <c r="B12" s="159"/>
      <c r="C12" s="159"/>
      <c r="D12" s="159"/>
      <c r="E12" s="160"/>
      <c r="F12" s="161" t="s">
        <v>38</v>
      </c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</row>
    <row r="13" spans="1:20" ht="12.75" customHeight="1">
      <c r="A13" s="56" t="s">
        <v>39</v>
      </c>
      <c r="B13" s="56"/>
      <c r="C13" s="56"/>
      <c r="E13" s="11">
        <v>-86466.3</v>
      </c>
      <c r="F13" s="43"/>
      <c r="G13" s="12"/>
      <c r="H13" s="1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4"/>
    </row>
    <row r="14" spans="1:22" ht="24">
      <c r="A14" s="51"/>
      <c r="B14" s="69" t="s">
        <v>13</v>
      </c>
      <c r="C14" s="69"/>
      <c r="D14" s="52" t="s">
        <v>14</v>
      </c>
      <c r="E14" s="54" t="s">
        <v>15</v>
      </c>
      <c r="F14" s="43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4"/>
      <c r="V14" s="58"/>
    </row>
    <row r="15" spans="1:22" ht="12.75">
      <c r="A15" s="15" t="s">
        <v>40</v>
      </c>
      <c r="B15" s="70">
        <v>23810.82</v>
      </c>
      <c r="C15" s="71"/>
      <c r="D15" s="53">
        <f>9197.26+10701.84+1500</f>
        <v>21399.1</v>
      </c>
      <c r="E15" s="55"/>
      <c r="F15" s="16">
        <f aca="true" t="shared" si="0" ref="F15:F26">1868.2*1.07</f>
        <v>1998.9740000000002</v>
      </c>
      <c r="G15" s="16">
        <f aca="true" t="shared" si="1" ref="G15:G26">1868.2*1.57</f>
        <v>2933.074</v>
      </c>
      <c r="H15" s="17">
        <f aca="true" t="shared" si="2" ref="H15:H26">1868.2*1.5</f>
        <v>2802.3</v>
      </c>
      <c r="I15" s="16">
        <v>2400</v>
      </c>
      <c r="J15" s="16">
        <f aca="true" t="shared" si="3" ref="J15:J26">1868.2*3.44</f>
        <v>6426.608</v>
      </c>
      <c r="K15" s="16">
        <v>0</v>
      </c>
      <c r="L15" s="16">
        <v>0</v>
      </c>
      <c r="M15" s="16">
        <f aca="true" t="shared" si="4" ref="M15:M26">1868.2*1.79</f>
        <v>3344.078</v>
      </c>
      <c r="N15" s="16">
        <v>769.8</v>
      </c>
      <c r="O15" s="16">
        <v>0</v>
      </c>
      <c r="P15" s="39">
        <v>0</v>
      </c>
      <c r="Q15" s="39">
        <v>22957</v>
      </c>
      <c r="R15" s="16">
        <f aca="true" t="shared" si="5" ref="R15:R26">1868.2*1</f>
        <v>1868.2</v>
      </c>
      <c r="S15" s="16">
        <v>0</v>
      </c>
      <c r="T15" s="59">
        <f aca="true" t="shared" si="6" ref="T15:T26">SUM(F15:S15)</f>
        <v>45500.034</v>
      </c>
      <c r="U15" s="58"/>
      <c r="V15" s="58"/>
    </row>
    <row r="16" spans="1:22" ht="12.75">
      <c r="A16" s="15" t="s">
        <v>41</v>
      </c>
      <c r="B16" s="70">
        <v>36473.01</v>
      </c>
      <c r="C16" s="72"/>
      <c r="D16" s="53">
        <f>11673.63+10926.55+3735.48+3154.95</f>
        <v>29490.61</v>
      </c>
      <c r="E16" s="55"/>
      <c r="F16" s="16">
        <f t="shared" si="0"/>
        <v>1998.9740000000002</v>
      </c>
      <c r="G16" s="16">
        <f t="shared" si="1"/>
        <v>2933.074</v>
      </c>
      <c r="H16" s="17">
        <f t="shared" si="2"/>
        <v>2802.3</v>
      </c>
      <c r="I16" s="16">
        <v>2400</v>
      </c>
      <c r="J16" s="16">
        <f t="shared" si="3"/>
        <v>6426.608</v>
      </c>
      <c r="K16" s="16"/>
      <c r="L16" s="16"/>
      <c r="M16" s="16">
        <f t="shared" si="4"/>
        <v>3344.078</v>
      </c>
      <c r="N16" s="16">
        <f>90.21+3181.84</f>
        <v>3272.05</v>
      </c>
      <c r="O16" s="16">
        <v>0</v>
      </c>
      <c r="P16" s="39">
        <v>0</v>
      </c>
      <c r="Q16" s="39">
        <v>0</v>
      </c>
      <c r="R16" s="16">
        <f t="shared" si="5"/>
        <v>1868.2</v>
      </c>
      <c r="S16" s="16">
        <v>0</v>
      </c>
      <c r="T16" s="59">
        <f t="shared" si="6"/>
        <v>25045.284000000003</v>
      </c>
      <c r="U16" s="58"/>
      <c r="V16" s="58"/>
    </row>
    <row r="17" spans="1:20" ht="12.75">
      <c r="A17" s="15" t="s">
        <v>10</v>
      </c>
      <c r="B17" s="70">
        <v>36473.01</v>
      </c>
      <c r="C17" s="72"/>
      <c r="D17" s="53">
        <f>17068.78+12354.79</f>
        <v>29423.57</v>
      </c>
      <c r="E17" s="55"/>
      <c r="F17" s="16">
        <f t="shared" si="0"/>
        <v>1998.9740000000002</v>
      </c>
      <c r="G17" s="16">
        <f t="shared" si="1"/>
        <v>2933.074</v>
      </c>
      <c r="H17" s="17">
        <f t="shared" si="2"/>
        <v>2802.3</v>
      </c>
      <c r="I17" s="16">
        <v>2400</v>
      </c>
      <c r="J17" s="16">
        <f t="shared" si="3"/>
        <v>6426.608</v>
      </c>
      <c r="K17" s="16"/>
      <c r="L17" s="16"/>
      <c r="M17" s="16">
        <f t="shared" si="4"/>
        <v>3344.078</v>
      </c>
      <c r="N17" s="16">
        <v>153.96</v>
      </c>
      <c r="O17" s="16">
        <v>0</v>
      </c>
      <c r="P17" s="39">
        <v>0</v>
      </c>
      <c r="Q17" s="39">
        <v>0</v>
      </c>
      <c r="R17" s="16">
        <f t="shared" si="5"/>
        <v>1868.2</v>
      </c>
      <c r="S17" s="16">
        <v>0</v>
      </c>
      <c r="T17" s="59">
        <f t="shared" si="6"/>
        <v>21927.194000000003</v>
      </c>
    </row>
    <row r="18" spans="1:20" ht="14.25" customHeight="1">
      <c r="A18" s="15" t="s">
        <v>42</v>
      </c>
      <c r="B18" s="70">
        <v>36473.01</v>
      </c>
      <c r="C18" s="72"/>
      <c r="D18" s="53">
        <f>34851.75+15871.57</f>
        <v>50723.32</v>
      </c>
      <c r="E18" s="55"/>
      <c r="F18" s="16">
        <f t="shared" si="0"/>
        <v>1998.9740000000002</v>
      </c>
      <c r="G18" s="16">
        <f t="shared" si="1"/>
        <v>2933.074</v>
      </c>
      <c r="H18" s="17">
        <f t="shared" si="2"/>
        <v>2802.3</v>
      </c>
      <c r="I18" s="16">
        <v>1700</v>
      </c>
      <c r="J18" s="16">
        <f t="shared" si="3"/>
        <v>6426.608</v>
      </c>
      <c r="K18" s="16"/>
      <c r="L18" s="16"/>
      <c r="M18" s="16">
        <f t="shared" si="4"/>
        <v>3344.078</v>
      </c>
      <c r="N18" s="16">
        <f>3279.57+667.16</f>
        <v>3946.73</v>
      </c>
      <c r="O18" s="16">
        <v>0</v>
      </c>
      <c r="P18" s="39">
        <v>0</v>
      </c>
      <c r="Q18" s="39">
        <f>7075+7075</f>
        <v>14150</v>
      </c>
      <c r="R18" s="16">
        <f t="shared" si="5"/>
        <v>1868.2</v>
      </c>
      <c r="S18" s="16">
        <v>0</v>
      </c>
      <c r="T18" s="59">
        <f t="shared" si="6"/>
        <v>39169.964</v>
      </c>
    </row>
    <row r="19" spans="1:20" ht="12.75" customHeight="1">
      <c r="A19" s="15" t="s">
        <v>11</v>
      </c>
      <c r="B19" s="70">
        <v>36473.01</v>
      </c>
      <c r="C19" s="72"/>
      <c r="D19" s="53">
        <f>16088.4+8645.79</f>
        <v>24734.190000000002</v>
      </c>
      <c r="E19" s="55"/>
      <c r="F19" s="16">
        <f t="shared" si="0"/>
        <v>1998.9740000000002</v>
      </c>
      <c r="G19" s="16">
        <f t="shared" si="1"/>
        <v>2933.074</v>
      </c>
      <c r="H19" s="17">
        <f t="shared" si="2"/>
        <v>2802.3</v>
      </c>
      <c r="I19" s="16">
        <v>1000</v>
      </c>
      <c r="J19" s="16">
        <f t="shared" si="3"/>
        <v>6426.608</v>
      </c>
      <c r="K19" s="16"/>
      <c r="L19" s="16"/>
      <c r="M19" s="16">
        <f t="shared" si="4"/>
        <v>3344.078</v>
      </c>
      <c r="N19" s="16">
        <v>5156.23</v>
      </c>
      <c r="O19" s="16">
        <v>2094</v>
      </c>
      <c r="P19" s="39">
        <v>0</v>
      </c>
      <c r="Q19" s="39">
        <v>0</v>
      </c>
      <c r="R19" s="16">
        <f t="shared" si="5"/>
        <v>1868.2</v>
      </c>
      <c r="S19" s="16">
        <f>J35-N19</f>
        <v>526.460000000001</v>
      </c>
      <c r="T19" s="59">
        <f t="shared" si="6"/>
        <v>28149.924000000006</v>
      </c>
    </row>
    <row r="20" spans="1:20" ht="12.75">
      <c r="A20" s="15" t="s">
        <v>12</v>
      </c>
      <c r="B20" s="70">
        <v>35605.5</v>
      </c>
      <c r="C20" s="72"/>
      <c r="D20" s="53">
        <f>22489.74+11969.26+9.91</f>
        <v>34468.91</v>
      </c>
      <c r="E20" s="55"/>
      <c r="F20" s="16">
        <f t="shared" si="0"/>
        <v>1998.9740000000002</v>
      </c>
      <c r="G20" s="16">
        <f t="shared" si="1"/>
        <v>2933.074</v>
      </c>
      <c r="H20" s="17">
        <f t="shared" si="2"/>
        <v>2802.3</v>
      </c>
      <c r="I20" s="16">
        <v>1000</v>
      </c>
      <c r="J20" s="16">
        <f t="shared" si="3"/>
        <v>6426.608</v>
      </c>
      <c r="K20" s="16"/>
      <c r="L20" s="16"/>
      <c r="M20" s="16">
        <f t="shared" si="4"/>
        <v>3344.078</v>
      </c>
      <c r="N20" s="16">
        <v>4235.889999999999</v>
      </c>
      <c r="O20" s="16">
        <v>0</v>
      </c>
      <c r="P20" s="39">
        <v>0</v>
      </c>
      <c r="Q20" s="39">
        <v>3513</v>
      </c>
      <c r="R20" s="16">
        <f t="shared" si="5"/>
        <v>1868.2</v>
      </c>
      <c r="S20" s="16">
        <v>0</v>
      </c>
      <c r="T20" s="59">
        <f t="shared" si="6"/>
        <v>28122.124000000003</v>
      </c>
    </row>
    <row r="21" spans="1:20" ht="12.75">
      <c r="A21" s="15" t="s">
        <v>3</v>
      </c>
      <c r="B21" s="70">
        <v>35771.62</v>
      </c>
      <c r="C21" s="72"/>
      <c r="D21" s="53">
        <f>42031.3+37.32</f>
        <v>42068.62</v>
      </c>
      <c r="E21" s="55"/>
      <c r="F21" s="16">
        <f t="shared" si="0"/>
        <v>1998.9740000000002</v>
      </c>
      <c r="G21" s="16">
        <f t="shared" si="1"/>
        <v>2933.074</v>
      </c>
      <c r="H21" s="17">
        <f t="shared" si="2"/>
        <v>2802.3</v>
      </c>
      <c r="I21" s="16">
        <v>1000</v>
      </c>
      <c r="J21" s="16">
        <f t="shared" si="3"/>
        <v>6426.608</v>
      </c>
      <c r="K21" s="16"/>
      <c r="L21" s="16"/>
      <c r="M21" s="16">
        <f t="shared" si="4"/>
        <v>3344.078</v>
      </c>
      <c r="N21" s="16">
        <f>79.57+1082.54</f>
        <v>1162.11</v>
      </c>
      <c r="O21" s="16">
        <f>1200+600</f>
        <v>1800</v>
      </c>
      <c r="P21" s="39">
        <v>0</v>
      </c>
      <c r="Q21" s="39">
        <v>0</v>
      </c>
      <c r="R21" s="16">
        <f t="shared" si="5"/>
        <v>1868.2</v>
      </c>
      <c r="S21" s="16">
        <v>0</v>
      </c>
      <c r="T21" s="59">
        <f t="shared" si="6"/>
        <v>23335.344000000005</v>
      </c>
    </row>
    <row r="22" spans="1:20" ht="12.75">
      <c r="A22" s="15" t="s">
        <v>4</v>
      </c>
      <c r="B22" s="70">
        <v>35771.62</v>
      </c>
      <c r="C22" s="72"/>
      <c r="D22" s="53">
        <v>29727.09</v>
      </c>
      <c r="E22" s="55"/>
      <c r="F22" s="16">
        <f t="shared" si="0"/>
        <v>1998.9740000000002</v>
      </c>
      <c r="G22" s="16">
        <f t="shared" si="1"/>
        <v>2933.074</v>
      </c>
      <c r="H22" s="17">
        <f t="shared" si="2"/>
        <v>2802.3</v>
      </c>
      <c r="I22" s="16">
        <v>1000</v>
      </c>
      <c r="J22" s="16">
        <f t="shared" si="3"/>
        <v>6426.608</v>
      </c>
      <c r="K22" s="16"/>
      <c r="L22" s="16"/>
      <c r="M22" s="16">
        <f t="shared" si="4"/>
        <v>3344.078</v>
      </c>
      <c r="N22" s="16">
        <f>1436.23+159.14</f>
        <v>1595.37</v>
      </c>
      <c r="O22" s="16">
        <v>0</v>
      </c>
      <c r="P22" s="39">
        <v>9443</v>
      </c>
      <c r="Q22" s="39">
        <v>0</v>
      </c>
      <c r="R22" s="16">
        <f t="shared" si="5"/>
        <v>1868.2</v>
      </c>
      <c r="S22" s="16">
        <v>0</v>
      </c>
      <c r="T22" s="59">
        <f t="shared" si="6"/>
        <v>31411.604000000003</v>
      </c>
    </row>
    <row r="23" spans="1:20" ht="12.75">
      <c r="A23" s="15" t="s">
        <v>43</v>
      </c>
      <c r="B23" s="70">
        <v>33501.41</v>
      </c>
      <c r="C23" s="72"/>
      <c r="D23" s="53">
        <v>33501.41</v>
      </c>
      <c r="E23" s="55"/>
      <c r="F23" s="16">
        <f t="shared" si="0"/>
        <v>1998.9740000000002</v>
      </c>
      <c r="G23" s="16">
        <f t="shared" si="1"/>
        <v>2933.074</v>
      </c>
      <c r="H23" s="17">
        <f t="shared" si="2"/>
        <v>2802.3</v>
      </c>
      <c r="I23" s="16">
        <v>1000</v>
      </c>
      <c r="J23" s="16">
        <f t="shared" si="3"/>
        <v>6426.608</v>
      </c>
      <c r="K23" s="16"/>
      <c r="L23" s="16"/>
      <c r="M23" s="16">
        <f t="shared" si="4"/>
        <v>3344.078</v>
      </c>
      <c r="N23" s="16">
        <f>1034.41+4984.35</f>
        <v>6018.76</v>
      </c>
      <c r="O23" s="16">
        <v>0</v>
      </c>
      <c r="P23" s="39">
        <v>0</v>
      </c>
      <c r="Q23" s="39">
        <v>0</v>
      </c>
      <c r="R23" s="16">
        <f t="shared" si="5"/>
        <v>1868.2</v>
      </c>
      <c r="S23" s="16">
        <v>0</v>
      </c>
      <c r="T23" s="59">
        <f t="shared" si="6"/>
        <v>26391.994000000002</v>
      </c>
    </row>
    <row r="24" spans="1:20" ht="12.75">
      <c r="A24" s="15" t="s">
        <v>44</v>
      </c>
      <c r="B24" s="70">
        <v>39149.45</v>
      </c>
      <c r="C24" s="72"/>
      <c r="D24" s="53">
        <v>44340.41</v>
      </c>
      <c r="E24" s="55"/>
      <c r="F24" s="16">
        <f t="shared" si="0"/>
        <v>1998.9740000000002</v>
      </c>
      <c r="G24" s="16">
        <f t="shared" si="1"/>
        <v>2933.074</v>
      </c>
      <c r="H24" s="17">
        <f t="shared" si="2"/>
        <v>2802.3</v>
      </c>
      <c r="I24" s="16">
        <v>2400</v>
      </c>
      <c r="J24" s="16">
        <f t="shared" si="3"/>
        <v>6426.608</v>
      </c>
      <c r="K24" s="16"/>
      <c r="L24" s="16"/>
      <c r="M24" s="16">
        <f t="shared" si="4"/>
        <v>3344.078</v>
      </c>
      <c r="N24" s="16">
        <f>3744+1241.29</f>
        <v>4985.29</v>
      </c>
      <c r="O24" s="16">
        <v>0</v>
      </c>
      <c r="P24" s="39">
        <v>0</v>
      </c>
      <c r="Q24" s="39">
        <v>0</v>
      </c>
      <c r="R24" s="16">
        <f t="shared" si="5"/>
        <v>1868.2</v>
      </c>
      <c r="S24" s="16">
        <v>0</v>
      </c>
      <c r="T24" s="59">
        <f t="shared" si="6"/>
        <v>26758.524000000005</v>
      </c>
    </row>
    <row r="25" spans="1:20" ht="12.75">
      <c r="A25" s="15" t="s">
        <v>45</v>
      </c>
      <c r="B25" s="70">
        <v>36306.89</v>
      </c>
      <c r="C25" s="72"/>
      <c r="D25" s="53">
        <v>32614.43</v>
      </c>
      <c r="E25" s="55"/>
      <c r="F25" s="16">
        <f t="shared" si="0"/>
        <v>1998.9740000000002</v>
      </c>
      <c r="G25" s="16">
        <f t="shared" si="1"/>
        <v>2933.074</v>
      </c>
      <c r="H25" s="17">
        <f t="shared" si="2"/>
        <v>2802.3</v>
      </c>
      <c r="I25" s="16">
        <v>2400</v>
      </c>
      <c r="J25" s="16">
        <f t="shared" si="3"/>
        <v>6426.608</v>
      </c>
      <c r="K25" s="16"/>
      <c r="L25" s="16"/>
      <c r="M25" s="16">
        <f t="shared" si="4"/>
        <v>3344.078</v>
      </c>
      <c r="N25" s="16">
        <f>3996.57</f>
        <v>3996.57</v>
      </c>
      <c r="O25" s="16">
        <v>7037</v>
      </c>
      <c r="P25" s="39">
        <v>0</v>
      </c>
      <c r="Q25" s="39">
        <v>0</v>
      </c>
      <c r="R25" s="16">
        <f t="shared" si="5"/>
        <v>1868.2</v>
      </c>
      <c r="S25" s="16">
        <v>0</v>
      </c>
      <c r="T25" s="59">
        <f t="shared" si="6"/>
        <v>32806.804000000004</v>
      </c>
    </row>
    <row r="26" spans="1:20" ht="12.75">
      <c r="A26" s="15" t="s">
        <v>46</v>
      </c>
      <c r="B26" s="70">
        <v>31950.83</v>
      </c>
      <c r="C26" s="72"/>
      <c r="D26" s="53">
        <v>26364.8</v>
      </c>
      <c r="E26" s="55"/>
      <c r="F26" s="16">
        <f t="shared" si="0"/>
        <v>1998.9740000000002</v>
      </c>
      <c r="G26" s="16">
        <f t="shared" si="1"/>
        <v>2933.074</v>
      </c>
      <c r="H26" s="17">
        <f t="shared" si="2"/>
        <v>2802.3</v>
      </c>
      <c r="I26" s="16">
        <v>2400</v>
      </c>
      <c r="J26" s="16">
        <f t="shared" si="3"/>
        <v>6426.608</v>
      </c>
      <c r="K26" s="16"/>
      <c r="L26" s="16"/>
      <c r="M26" s="16">
        <f t="shared" si="4"/>
        <v>3344.078</v>
      </c>
      <c r="N26" s="16">
        <f>5699.43</f>
        <v>5699.43</v>
      </c>
      <c r="O26" s="16">
        <v>3280</v>
      </c>
      <c r="P26" s="39">
        <v>0</v>
      </c>
      <c r="Q26" s="39">
        <v>15226</v>
      </c>
      <c r="R26" s="16">
        <f t="shared" si="5"/>
        <v>1868.2</v>
      </c>
      <c r="S26" s="16">
        <v>0</v>
      </c>
      <c r="T26" s="59">
        <f t="shared" si="6"/>
        <v>45978.664000000004</v>
      </c>
    </row>
    <row r="27" spans="1:20" ht="36">
      <c r="A27" s="19" t="s">
        <v>47</v>
      </c>
      <c r="B27" s="70">
        <v>0</v>
      </c>
      <c r="C27" s="72"/>
      <c r="D27" s="53">
        <f>900+900+900+900</f>
        <v>3600</v>
      </c>
      <c r="E27" s="34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9"/>
      <c r="Q27" s="39"/>
      <c r="R27" s="16"/>
      <c r="S27" s="16"/>
      <c r="T27" s="18"/>
    </row>
    <row r="28" spans="1:20" ht="36">
      <c r="A28" s="19" t="s">
        <v>7</v>
      </c>
      <c r="B28" s="70">
        <v>0</v>
      </c>
      <c r="C28" s="72"/>
      <c r="D28" s="53">
        <f>6297.21+4697.21+6297.21+5977.97</f>
        <v>23269.600000000002</v>
      </c>
      <c r="E28" s="34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9"/>
      <c r="Q28" s="39"/>
      <c r="R28" s="16"/>
      <c r="S28" s="16"/>
      <c r="T28" s="18"/>
    </row>
    <row r="29" spans="1:20" ht="12.75">
      <c r="A29" s="20" t="s">
        <v>2</v>
      </c>
      <c r="B29" s="164">
        <f>SUM(B15:B28)</f>
        <v>417760.18000000005</v>
      </c>
      <c r="C29" s="165"/>
      <c r="D29" s="38">
        <f>SUM(D15:D28)</f>
        <v>425726.05999999994</v>
      </c>
      <c r="E29" s="21"/>
      <c r="F29" s="21">
        <f>SUM(F15:F28)</f>
        <v>23987.68800000001</v>
      </c>
      <c r="G29" s="21">
        <f>SUM(G15:G28)</f>
        <v>35196.888</v>
      </c>
      <c r="H29" s="21">
        <f>SUM(H15:H28)</f>
        <v>33627.6</v>
      </c>
      <c r="I29" s="21">
        <f>SUM(I15:I28)</f>
        <v>21100</v>
      </c>
      <c r="J29" s="21">
        <f>SUM(J15:J28)</f>
        <v>77119.296</v>
      </c>
      <c r="K29" s="21"/>
      <c r="L29" s="21"/>
      <c r="M29" s="21">
        <f aca="true" t="shared" si="7" ref="M29:T29">SUM(M15:M28)</f>
        <v>40128.93600000001</v>
      </c>
      <c r="N29" s="21">
        <f t="shared" si="7"/>
        <v>40992.19</v>
      </c>
      <c r="O29" s="21">
        <f t="shared" si="7"/>
        <v>14211</v>
      </c>
      <c r="P29" s="38">
        <f t="shared" si="7"/>
        <v>9443</v>
      </c>
      <c r="Q29" s="38">
        <f t="shared" si="7"/>
        <v>55846</v>
      </c>
      <c r="R29" s="21">
        <f t="shared" si="7"/>
        <v>22418.400000000005</v>
      </c>
      <c r="S29" s="21">
        <f t="shared" si="7"/>
        <v>526.460000000001</v>
      </c>
      <c r="T29" s="60">
        <f t="shared" si="7"/>
        <v>374597.458</v>
      </c>
    </row>
    <row r="30" spans="1:20" ht="12.7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3" t="s">
        <v>66</v>
      </c>
      <c r="R30" s="156">
        <f>E13+D29-T29</f>
        <v>-35337.69800000003</v>
      </c>
      <c r="S30" s="156"/>
      <c r="T30" s="156"/>
    </row>
    <row r="31" spans="1:20" ht="12.75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3"/>
      <c r="R31" s="62"/>
      <c r="S31" s="62"/>
      <c r="T31" s="62"/>
    </row>
    <row r="32" spans="1:20" ht="12.7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3"/>
      <c r="R32" s="62"/>
      <c r="S32" s="62"/>
      <c r="T32" s="62"/>
    </row>
    <row r="33" spans="1:20" ht="12.75">
      <c r="A33" s="30"/>
      <c r="B33" s="31"/>
      <c r="C33" s="31"/>
      <c r="D33" s="31"/>
      <c r="E33" s="31"/>
      <c r="F33" s="31"/>
      <c r="G33" s="31"/>
      <c r="H33" s="31"/>
      <c r="I33" s="63"/>
      <c r="J33" s="63"/>
      <c r="K33" s="63"/>
      <c r="L33" s="63"/>
      <c r="M33" s="63"/>
      <c r="N33" s="63"/>
      <c r="O33" s="63"/>
      <c r="P33" s="31"/>
      <c r="Q33" s="33"/>
      <c r="R33" s="62"/>
      <c r="S33" s="62"/>
      <c r="T33" s="62"/>
    </row>
    <row r="34" spans="1:20" ht="12.75">
      <c r="A34" s="30"/>
      <c r="B34" s="31"/>
      <c r="C34" s="31"/>
      <c r="D34" s="31"/>
      <c r="E34" s="31"/>
      <c r="F34" s="31"/>
      <c r="G34" s="31"/>
      <c r="H34" s="31"/>
      <c r="I34" s="63"/>
      <c r="J34" s="63"/>
      <c r="K34" s="63"/>
      <c r="L34" s="63"/>
      <c r="M34" s="63"/>
      <c r="N34" s="63"/>
      <c r="O34" s="63"/>
      <c r="P34" s="31"/>
      <c r="Q34" s="33"/>
      <c r="R34" s="62"/>
      <c r="S34" s="62"/>
      <c r="T34" s="62"/>
    </row>
    <row r="35" spans="1:20" ht="12.75">
      <c r="A35" s="30"/>
      <c r="B35" s="154" t="s">
        <v>11</v>
      </c>
      <c r="C35" s="154"/>
      <c r="D35" s="31">
        <v>2094</v>
      </c>
      <c r="E35" s="31" t="s">
        <v>67</v>
      </c>
      <c r="F35" s="31"/>
      <c r="G35" s="31"/>
      <c r="H35" s="31"/>
      <c r="I35" s="63" t="s">
        <v>11</v>
      </c>
      <c r="J35" s="63">
        <f>5374.77+307.92</f>
        <v>5682.6900000000005</v>
      </c>
      <c r="K35" s="63"/>
      <c r="L35" s="63"/>
      <c r="M35" s="63" t="s">
        <v>72</v>
      </c>
      <c r="N35" s="63" t="s">
        <v>73</v>
      </c>
      <c r="O35" s="63"/>
      <c r="P35" s="31"/>
      <c r="Q35" s="31"/>
      <c r="R35" s="31"/>
      <c r="S35" s="31"/>
      <c r="T35" s="32"/>
    </row>
    <row r="36" spans="1:20" ht="12.75">
      <c r="A36" s="30"/>
      <c r="B36" s="154" t="s">
        <v>3</v>
      </c>
      <c r="C36" s="154"/>
      <c r="D36" s="31">
        <v>1200</v>
      </c>
      <c r="E36" s="31" t="s">
        <v>76</v>
      </c>
      <c r="F36" s="31"/>
      <c r="G36" s="31"/>
      <c r="H36" s="31"/>
      <c r="I36" s="63"/>
      <c r="J36" s="63"/>
      <c r="K36" s="63"/>
      <c r="L36" s="63"/>
      <c r="M36" s="63"/>
      <c r="N36" s="63"/>
      <c r="O36" s="63"/>
      <c r="P36" s="31"/>
      <c r="Q36" s="31"/>
      <c r="R36" s="31"/>
      <c r="S36" s="31"/>
      <c r="T36" s="32"/>
    </row>
    <row r="37" spans="1:20" ht="12.75">
      <c r="A37" s="30"/>
      <c r="B37" s="31"/>
      <c r="C37" s="40"/>
      <c r="D37" s="31">
        <v>600</v>
      </c>
      <c r="E37" s="31" t="s">
        <v>77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61"/>
      <c r="Q37" s="31"/>
      <c r="R37" s="31"/>
      <c r="S37" s="31"/>
      <c r="T37" s="32"/>
    </row>
    <row r="38" spans="1:20" ht="12.75">
      <c r="A38" s="30"/>
      <c r="B38" s="154" t="s">
        <v>8</v>
      </c>
      <c r="C38" s="154"/>
      <c r="D38" s="31">
        <v>2000</v>
      </c>
      <c r="E38" s="31" t="s">
        <v>78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</row>
    <row r="39" spans="1:20" ht="12.75">
      <c r="A39" s="30"/>
      <c r="B39" s="31"/>
      <c r="C39" s="41"/>
      <c r="D39" s="31">
        <v>5037</v>
      </c>
      <c r="E39" s="31" t="s">
        <v>79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</row>
    <row r="40" spans="1:20" ht="12.75">
      <c r="A40" s="30"/>
      <c r="B40" s="155" t="s">
        <v>9</v>
      </c>
      <c r="C40" s="155"/>
      <c r="D40" s="31">
        <v>3280</v>
      </c>
      <c r="E40" s="31" t="s">
        <v>80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</row>
    <row r="41" spans="1:20" ht="12.75">
      <c r="A41" s="30"/>
      <c r="B41" s="31"/>
      <c r="C41" s="4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</row>
    <row r="42" spans="1:20" ht="12.75">
      <c r="A42" s="30"/>
      <c r="B42" s="31"/>
      <c r="C42" s="4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</row>
    <row r="43" spans="1:20" ht="12.75">
      <c r="A43" s="30"/>
      <c r="B43" s="31"/>
      <c r="C43" s="4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</row>
    <row r="44" spans="1:20" ht="12.75">
      <c r="A44" s="30"/>
      <c r="B44" s="31"/>
      <c r="C44" s="4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</row>
    <row r="45" spans="3:20" ht="12.75">
      <c r="C45" s="42"/>
      <c r="R45" s="116"/>
      <c r="S45" s="116"/>
      <c r="T45" s="116"/>
    </row>
    <row r="46" spans="1:20" ht="15">
      <c r="A46" s="117" t="s">
        <v>48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1:20" ht="12.75">
      <c r="A47" s="109" t="s">
        <v>49</v>
      </c>
      <c r="B47" s="110"/>
      <c r="C47" s="95" t="s">
        <v>5</v>
      </c>
      <c r="D47" s="96"/>
      <c r="E47" s="96"/>
      <c r="F47" s="96"/>
      <c r="G47" s="96"/>
      <c r="H47" s="96"/>
      <c r="I47" s="96"/>
      <c r="J47" s="96"/>
      <c r="K47" s="97"/>
      <c r="L47" s="101" t="s">
        <v>50</v>
      </c>
      <c r="M47" s="102"/>
      <c r="N47" s="103"/>
      <c r="O47" s="107" t="s">
        <v>51</v>
      </c>
      <c r="P47" s="107"/>
      <c r="Q47" s="109" t="s">
        <v>52</v>
      </c>
      <c r="R47" s="110"/>
      <c r="S47" s="45"/>
      <c r="T47" s="107" t="s">
        <v>53</v>
      </c>
    </row>
    <row r="48" spans="1:20" ht="12.75">
      <c r="A48" s="111"/>
      <c r="B48" s="112"/>
      <c r="C48" s="98"/>
      <c r="D48" s="99"/>
      <c r="E48" s="99"/>
      <c r="F48" s="99"/>
      <c r="G48" s="99"/>
      <c r="H48" s="99"/>
      <c r="I48" s="99"/>
      <c r="J48" s="99"/>
      <c r="K48" s="100"/>
      <c r="L48" s="104"/>
      <c r="M48" s="105"/>
      <c r="N48" s="106"/>
      <c r="O48" s="108"/>
      <c r="P48" s="108"/>
      <c r="Q48" s="111"/>
      <c r="R48" s="112"/>
      <c r="S48" s="46"/>
      <c r="T48" s="108"/>
    </row>
    <row r="49" spans="1:20" ht="12.75">
      <c r="A49" s="85"/>
      <c r="B49" s="86"/>
      <c r="C49" s="87" t="s">
        <v>54</v>
      </c>
      <c r="D49" s="88"/>
      <c r="E49" s="88"/>
      <c r="F49" s="88"/>
      <c r="G49" s="88"/>
      <c r="H49" s="88"/>
      <c r="I49" s="88"/>
      <c r="J49" s="88"/>
      <c r="K49" s="89"/>
      <c r="L49" s="90"/>
      <c r="M49" s="91"/>
      <c r="N49" s="92"/>
      <c r="O49" s="22"/>
      <c r="P49" s="22"/>
      <c r="Q49" s="93"/>
      <c r="R49" s="94"/>
      <c r="S49" s="47"/>
      <c r="T49" s="22"/>
    </row>
    <row r="50" spans="1:20" ht="12.75">
      <c r="A50" s="85"/>
      <c r="B50" s="86"/>
      <c r="C50" s="87" t="s">
        <v>55</v>
      </c>
      <c r="D50" s="88"/>
      <c r="E50" s="88"/>
      <c r="F50" s="88"/>
      <c r="G50" s="88"/>
      <c r="H50" s="88"/>
      <c r="I50" s="88"/>
      <c r="J50" s="88"/>
      <c r="K50" s="89"/>
      <c r="L50" s="82" t="s">
        <v>56</v>
      </c>
      <c r="M50" s="83"/>
      <c r="N50" s="84"/>
      <c r="O50" s="23">
        <v>0.05</v>
      </c>
      <c r="P50" s="24"/>
      <c r="Q50" s="67">
        <f>SUM(O50*2002.5*12)</f>
        <v>1201.5</v>
      </c>
      <c r="R50" s="68"/>
      <c r="S50" s="44"/>
      <c r="T50" s="23"/>
    </row>
    <row r="51" spans="1:20" ht="12.75">
      <c r="A51" s="85"/>
      <c r="B51" s="86"/>
      <c r="C51" s="87" t="s">
        <v>57</v>
      </c>
      <c r="D51" s="88"/>
      <c r="E51" s="88"/>
      <c r="F51" s="88"/>
      <c r="G51" s="88"/>
      <c r="H51" s="88"/>
      <c r="I51" s="88"/>
      <c r="J51" s="88"/>
      <c r="K51" s="89"/>
      <c r="L51" s="82" t="s">
        <v>56</v>
      </c>
      <c r="M51" s="83"/>
      <c r="N51" s="84"/>
      <c r="O51" s="23">
        <v>0.05</v>
      </c>
      <c r="P51" s="24"/>
      <c r="Q51" s="67">
        <f aca="true" t="shared" si="8" ref="Q51:Q56">SUM(O51*2002.5*12)</f>
        <v>1201.5</v>
      </c>
      <c r="R51" s="68"/>
      <c r="S51" s="44"/>
      <c r="T51" s="23"/>
    </row>
    <row r="52" spans="1:20" ht="12.75">
      <c r="A52" s="85"/>
      <c r="B52" s="86"/>
      <c r="C52" s="87" t="s">
        <v>58</v>
      </c>
      <c r="D52" s="88"/>
      <c r="E52" s="88"/>
      <c r="F52" s="88"/>
      <c r="G52" s="88"/>
      <c r="H52" s="88"/>
      <c r="I52" s="88"/>
      <c r="J52" s="88"/>
      <c r="K52" s="89"/>
      <c r="L52" s="82" t="s">
        <v>59</v>
      </c>
      <c r="M52" s="83"/>
      <c r="N52" s="84"/>
      <c r="O52" s="23">
        <v>0.15</v>
      </c>
      <c r="P52" s="24"/>
      <c r="Q52" s="67">
        <f t="shared" si="8"/>
        <v>3604.5</v>
      </c>
      <c r="R52" s="68"/>
      <c r="S52" s="44"/>
      <c r="T52" s="23"/>
    </row>
    <row r="53" spans="1:20" ht="12.75">
      <c r="A53" s="67"/>
      <c r="B53" s="68"/>
      <c r="C53" s="79" t="s">
        <v>60</v>
      </c>
      <c r="D53" s="80"/>
      <c r="E53" s="80"/>
      <c r="F53" s="80"/>
      <c r="G53" s="80"/>
      <c r="H53" s="80"/>
      <c r="I53" s="80"/>
      <c r="J53" s="80"/>
      <c r="K53" s="81"/>
      <c r="L53" s="82" t="s">
        <v>56</v>
      </c>
      <c r="M53" s="83"/>
      <c r="N53" s="84"/>
      <c r="O53" s="1">
        <v>0.15</v>
      </c>
      <c r="P53" s="1"/>
      <c r="Q53" s="67">
        <f t="shared" si="8"/>
        <v>3604.5</v>
      </c>
      <c r="R53" s="68"/>
      <c r="S53" s="44"/>
      <c r="T53" s="1"/>
    </row>
    <row r="54" spans="1:20" ht="12.75">
      <c r="A54" s="67"/>
      <c r="B54" s="68"/>
      <c r="C54" s="73" t="s">
        <v>61</v>
      </c>
      <c r="D54" s="74"/>
      <c r="E54" s="74"/>
      <c r="F54" s="74"/>
      <c r="G54" s="74"/>
      <c r="H54" s="74"/>
      <c r="I54" s="74"/>
      <c r="J54" s="74"/>
      <c r="K54" s="75"/>
      <c r="L54" s="76" t="s">
        <v>62</v>
      </c>
      <c r="M54" s="77"/>
      <c r="N54" s="78"/>
      <c r="O54" s="1">
        <v>0.25</v>
      </c>
      <c r="P54" s="1"/>
      <c r="Q54" s="67">
        <f t="shared" si="8"/>
        <v>6007.5</v>
      </c>
      <c r="R54" s="68"/>
      <c r="S54" s="44"/>
      <c r="T54" s="1"/>
    </row>
    <row r="55" spans="1:20" ht="12.75">
      <c r="A55" s="67"/>
      <c r="B55" s="68"/>
      <c r="C55" s="73" t="s">
        <v>63</v>
      </c>
      <c r="D55" s="74"/>
      <c r="E55" s="74"/>
      <c r="F55" s="74"/>
      <c r="G55" s="74"/>
      <c r="H55" s="74"/>
      <c r="I55" s="74"/>
      <c r="J55" s="74"/>
      <c r="K55" s="75"/>
      <c r="L55" s="76" t="s">
        <v>62</v>
      </c>
      <c r="M55" s="77"/>
      <c r="N55" s="78"/>
      <c r="O55" s="1">
        <v>0.1</v>
      </c>
      <c r="P55" s="25"/>
      <c r="Q55" s="67">
        <f t="shared" si="8"/>
        <v>2403</v>
      </c>
      <c r="R55" s="68"/>
      <c r="S55" s="44"/>
      <c r="T55" s="1"/>
    </row>
    <row r="56" spans="1:20" ht="12.75">
      <c r="A56" s="67"/>
      <c r="B56" s="68"/>
      <c r="C56" s="79" t="s">
        <v>64</v>
      </c>
      <c r="D56" s="80"/>
      <c r="E56" s="80"/>
      <c r="F56" s="80"/>
      <c r="G56" s="80"/>
      <c r="H56" s="80"/>
      <c r="I56" s="80"/>
      <c r="J56" s="80"/>
      <c r="K56" s="81"/>
      <c r="L56" s="76" t="s">
        <v>62</v>
      </c>
      <c r="M56" s="77"/>
      <c r="N56" s="78"/>
      <c r="O56" s="1">
        <v>0.25</v>
      </c>
      <c r="P56" s="1"/>
      <c r="Q56" s="67">
        <f t="shared" si="8"/>
        <v>6007.5</v>
      </c>
      <c r="R56" s="68"/>
      <c r="S56" s="44"/>
      <c r="T56" s="1"/>
    </row>
    <row r="57" spans="5:20" ht="12.75">
      <c r="E57" s="26" t="s">
        <v>65</v>
      </c>
      <c r="F57" s="27"/>
      <c r="G57" s="27"/>
      <c r="H57" s="27"/>
      <c r="I57" s="27"/>
      <c r="J57" s="27"/>
      <c r="K57" s="27"/>
      <c r="L57" s="27"/>
      <c r="M57" s="27"/>
      <c r="N57" s="27"/>
      <c r="O57" s="28">
        <f>SUM(O50:O56)</f>
        <v>1</v>
      </c>
      <c r="P57" s="29"/>
      <c r="Q57" s="67">
        <f>SUM(Q50:Q56)</f>
        <v>24030</v>
      </c>
      <c r="R57" s="68"/>
      <c r="S57" s="44"/>
      <c r="T57" s="1"/>
    </row>
  </sheetData>
  <sheetProtection/>
  <mergeCells count="94">
    <mergeCell ref="B38:C38"/>
    <mergeCell ref="B40:C40"/>
    <mergeCell ref="R30:T30"/>
    <mergeCell ref="P10:Q10"/>
    <mergeCell ref="A12:E12"/>
    <mergeCell ref="F12:T12"/>
    <mergeCell ref="B28:C28"/>
    <mergeCell ref="B29:C29"/>
    <mergeCell ref="A1:T1"/>
    <mergeCell ref="A2:T2"/>
    <mergeCell ref="A3:E3"/>
    <mergeCell ref="F3:R3"/>
    <mergeCell ref="B4:E4"/>
    <mergeCell ref="F4:O4"/>
    <mergeCell ref="P4:Q5"/>
    <mergeCell ref="R4:R6"/>
    <mergeCell ref="T4:T6"/>
    <mergeCell ref="B5:B6"/>
    <mergeCell ref="C5:C6"/>
    <mergeCell ref="D5:D6"/>
    <mergeCell ref="E5:E6"/>
    <mergeCell ref="F5:F6"/>
    <mergeCell ref="G5:G6"/>
    <mergeCell ref="H5:H6"/>
    <mergeCell ref="N5:O5"/>
    <mergeCell ref="I5:I6"/>
    <mergeCell ref="J5:J6"/>
    <mergeCell ref="K5:K6"/>
    <mergeCell ref="L5:L6"/>
    <mergeCell ref="M5:M6"/>
    <mergeCell ref="B8:D8"/>
    <mergeCell ref="A10:D10"/>
    <mergeCell ref="F10:O10"/>
    <mergeCell ref="B9:D9"/>
    <mergeCell ref="A46:T46"/>
    <mergeCell ref="B22:C22"/>
    <mergeCell ref="B23:C23"/>
    <mergeCell ref="B24:C24"/>
    <mergeCell ref="B25:C25"/>
    <mergeCell ref="B21:C21"/>
    <mergeCell ref="B26:C26"/>
    <mergeCell ref="B27:C27"/>
    <mergeCell ref="B35:C35"/>
    <mergeCell ref="B36:C36"/>
    <mergeCell ref="C47:K48"/>
    <mergeCell ref="L47:N48"/>
    <mergeCell ref="O47:O48"/>
    <mergeCell ref="P47:P48"/>
    <mergeCell ref="Q47:R48"/>
    <mergeCell ref="A11:E11"/>
    <mergeCell ref="R45:T45"/>
    <mergeCell ref="T47:T48"/>
    <mergeCell ref="A47:B48"/>
    <mergeCell ref="B20:C20"/>
    <mergeCell ref="A49:B49"/>
    <mergeCell ref="C49:K49"/>
    <mergeCell ref="L49:N49"/>
    <mergeCell ref="Q49:R49"/>
    <mergeCell ref="A50:B50"/>
    <mergeCell ref="C50:K50"/>
    <mergeCell ref="L50:N50"/>
    <mergeCell ref="Q50:R50"/>
    <mergeCell ref="L51:N51"/>
    <mergeCell ref="Q51:R51"/>
    <mergeCell ref="A52:B52"/>
    <mergeCell ref="C52:K52"/>
    <mergeCell ref="L52:N52"/>
    <mergeCell ref="Q52:R52"/>
    <mergeCell ref="A51:B51"/>
    <mergeCell ref="C51:K51"/>
    <mergeCell ref="A53:B53"/>
    <mergeCell ref="C53:K53"/>
    <mergeCell ref="L53:N53"/>
    <mergeCell ref="Q53:R53"/>
    <mergeCell ref="A54:B54"/>
    <mergeCell ref="C54:K54"/>
    <mergeCell ref="L55:N55"/>
    <mergeCell ref="Q55:R55"/>
    <mergeCell ref="L54:N54"/>
    <mergeCell ref="Q54:R54"/>
    <mergeCell ref="A56:B56"/>
    <mergeCell ref="C56:K56"/>
    <mergeCell ref="L56:N56"/>
    <mergeCell ref="Q56:R56"/>
    <mergeCell ref="S4:S6"/>
    <mergeCell ref="Q57:R57"/>
    <mergeCell ref="B14:C14"/>
    <mergeCell ref="B15:C15"/>
    <mergeCell ref="B16:C16"/>
    <mergeCell ref="B17:C17"/>
    <mergeCell ref="B18:C18"/>
    <mergeCell ref="B19:C19"/>
    <mergeCell ref="A55:B55"/>
    <mergeCell ref="C55:K55"/>
  </mergeCells>
  <printOptions/>
  <pageMargins left="0.07291666666666667" right="0.010416666666666666" top="0.010416666666666666" bottom="0.062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2018-02-05T07:23:56Z</cp:lastPrinted>
  <dcterms:created xsi:type="dcterms:W3CDTF">1996-10-08T23:32:33Z</dcterms:created>
  <dcterms:modified xsi:type="dcterms:W3CDTF">2018-02-07T11:14:30Z</dcterms:modified>
  <cp:category/>
  <cp:version/>
  <cp:contentType/>
  <cp:contentStatus/>
</cp:coreProperties>
</file>