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05" windowWidth="15120" windowHeight="7410"/>
  </bookViews>
  <sheets>
    <sheet name="2017" sheetId="6" r:id="rId1"/>
  </sheets>
  <definedNames>
    <definedName name="_xlnm.Print_Area" localSheetId="0">'2017'!$B$32:$L$48</definedName>
  </definedNames>
  <calcPr calcId="162913" refMode="R1C1"/>
</workbook>
</file>

<file path=xl/calcChain.xml><?xml version="1.0" encoding="utf-8"?>
<calcChain xmlns="http://schemas.openxmlformats.org/spreadsheetml/2006/main">
  <c r="O24" i="6" l="1"/>
  <c r="N26" i="6" l="1"/>
  <c r="N25" i="6"/>
  <c r="N24" i="6"/>
  <c r="D28" i="6" l="1"/>
  <c r="P25" i="6" l="1"/>
  <c r="D26" i="6" l="1"/>
  <c r="F26" i="6"/>
  <c r="H26" i="6"/>
  <c r="I26" i="6"/>
  <c r="J26" i="6"/>
  <c r="K26" i="6"/>
  <c r="M26" i="6"/>
  <c r="R26" i="6"/>
  <c r="Q29" i="6"/>
  <c r="L29" i="6"/>
  <c r="G29" i="6"/>
  <c r="D25" i="6"/>
  <c r="R25" i="6"/>
  <c r="M25" i="6"/>
  <c r="K25" i="6"/>
  <c r="J25" i="6"/>
  <c r="I25" i="6"/>
  <c r="H25" i="6"/>
  <c r="F25" i="6"/>
  <c r="R24" i="6"/>
  <c r="M24" i="6"/>
  <c r="K24" i="6"/>
  <c r="J24" i="6"/>
  <c r="I24" i="6"/>
  <c r="H24" i="6"/>
  <c r="F24" i="6"/>
  <c r="D24" i="6"/>
  <c r="D27" i="6"/>
  <c r="T26" i="6" l="1"/>
  <c r="T24" i="6"/>
  <c r="T25" i="6"/>
  <c r="N23" i="6"/>
  <c r="I37" i="6"/>
  <c r="F23" i="6" l="1"/>
  <c r="H23" i="6"/>
  <c r="I23" i="6"/>
  <c r="J23" i="6"/>
  <c r="K23" i="6"/>
  <c r="M23" i="6"/>
  <c r="R23" i="6"/>
  <c r="T23" i="6" l="1"/>
  <c r="O22" i="6"/>
  <c r="S22" i="6" l="1"/>
  <c r="I36" i="6"/>
  <c r="S21" i="6" s="1"/>
  <c r="I35" i="6"/>
  <c r="S20" i="6" s="1"/>
  <c r="R22" i="6" l="1"/>
  <c r="M22" i="6"/>
  <c r="K22" i="6"/>
  <c r="J22" i="6"/>
  <c r="I22" i="6"/>
  <c r="H22" i="6"/>
  <c r="F22" i="6"/>
  <c r="T22" i="6" l="1"/>
  <c r="O21" i="6"/>
  <c r="P21" i="6" l="1"/>
  <c r="D21" i="6" l="1"/>
  <c r="F21" i="6"/>
  <c r="H21" i="6"/>
  <c r="I21" i="6"/>
  <c r="J21" i="6"/>
  <c r="K21" i="6"/>
  <c r="M21" i="6"/>
  <c r="R21" i="6"/>
  <c r="N11" i="6"/>
  <c r="T9" i="6"/>
  <c r="T21" i="6" l="1"/>
  <c r="O20" i="6"/>
  <c r="O29" i="6" s="1"/>
  <c r="D20" i="6"/>
  <c r="F20" i="6"/>
  <c r="H20" i="6"/>
  <c r="I20" i="6"/>
  <c r="J20" i="6"/>
  <c r="K20" i="6"/>
  <c r="M20" i="6"/>
  <c r="R20" i="6"/>
  <c r="N19" i="6"/>
  <c r="D19" i="6"/>
  <c r="F19" i="6"/>
  <c r="H19" i="6"/>
  <c r="I19" i="6"/>
  <c r="J19" i="6"/>
  <c r="K19" i="6"/>
  <c r="M19" i="6"/>
  <c r="R19" i="6"/>
  <c r="T20" i="6" l="1"/>
  <c r="T19" i="6"/>
  <c r="P18" i="6"/>
  <c r="P29" i="6" s="1"/>
  <c r="N18" i="6" l="1"/>
  <c r="D18" i="6"/>
  <c r="F18" i="6"/>
  <c r="H18" i="6"/>
  <c r="I18" i="6"/>
  <c r="J18" i="6"/>
  <c r="K18" i="6"/>
  <c r="M18" i="6"/>
  <c r="R18" i="6"/>
  <c r="T18" i="6" l="1"/>
  <c r="I34" i="6"/>
  <c r="S17" i="6" s="1"/>
  <c r="R17" i="6"/>
  <c r="M17" i="6"/>
  <c r="K17" i="6"/>
  <c r="J17" i="6"/>
  <c r="I17" i="6"/>
  <c r="H17" i="6"/>
  <c r="F17" i="6"/>
  <c r="D17" i="6"/>
  <c r="T17" i="6" l="1"/>
  <c r="N16" i="6"/>
  <c r="N29" i="6" s="1"/>
  <c r="I33" i="6"/>
  <c r="S16" i="6" l="1"/>
  <c r="S29" i="6" s="1"/>
  <c r="R16" i="6"/>
  <c r="M16" i="6"/>
  <c r="M29" i="6" s="1"/>
  <c r="K16" i="6"/>
  <c r="J16" i="6"/>
  <c r="J29" i="6" s="1"/>
  <c r="I16" i="6"/>
  <c r="I29" i="6" s="1"/>
  <c r="H16" i="6"/>
  <c r="F16" i="6"/>
  <c r="D16" i="6"/>
  <c r="T16" i="6" l="1"/>
  <c r="D15" i="6"/>
  <c r="D29" i="6" s="1"/>
  <c r="B15" i="6"/>
  <c r="B29" i="6" s="1"/>
  <c r="K11" i="6"/>
  <c r="H11" i="6"/>
  <c r="R15" i="6"/>
  <c r="R29" i="6" s="1"/>
  <c r="L11" i="6"/>
  <c r="K15" i="6"/>
  <c r="K29" i="6" s="1"/>
  <c r="H15" i="6"/>
  <c r="H29" i="6" s="1"/>
  <c r="F15" i="6"/>
  <c r="F29" i="6" s="1"/>
  <c r="T8" i="6"/>
  <c r="T7" i="6"/>
  <c r="E7" i="6"/>
  <c r="O63" i="6"/>
  <c r="Q62" i="6"/>
  <c r="Q61" i="6"/>
  <c r="Q60" i="6"/>
  <c r="Q59" i="6"/>
  <c r="Q58" i="6"/>
  <c r="Q57" i="6"/>
  <c r="Q56" i="6"/>
  <c r="R11" i="6"/>
  <c r="Q11" i="6"/>
  <c r="P11" i="6"/>
  <c r="O11" i="6"/>
  <c r="M11" i="6"/>
  <c r="J11" i="6"/>
  <c r="I11" i="6"/>
  <c r="G11" i="6"/>
  <c r="F11" i="6"/>
  <c r="Q63" i="6" l="1"/>
  <c r="T15" i="6"/>
  <c r="T29" i="6" s="1"/>
  <c r="T11" i="6"/>
  <c r="R30" i="6" l="1"/>
</calcChain>
</file>

<file path=xl/comments1.xml><?xml version="1.0" encoding="utf-8"?>
<comments xmlns="http://schemas.openxmlformats.org/spreadsheetml/2006/main">
  <authors>
    <author>Автор</author>
  </authors>
  <commentList>
    <comment ref="S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1975,82-х/в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1700р-страховка лифта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5542,56-х/в
21106,23-эл-во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1700р-стекло+ОСП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19019,8-эл-во
2771,28-х/в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710р-покос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3250р-погрузка и вывоз мусора
710р-покос</t>
        </r>
      </text>
    </comment>
    <comment ref="O2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21500р-поверка тепловычислителя
440р-лампочки 22шт
600-замок навес.</t>
        </r>
      </text>
    </comment>
    <comment ref="O2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урна-2150р
2700р-диагностика теплосчетчика</t>
        </r>
      </text>
    </comment>
    <comment ref="O2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1200р-ремонт вызывной панели
2600р-диагностика прибора уч. Тепловой энергии</t>
        </r>
      </text>
    </comment>
    <comment ref="O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2500р-масло+лампочки+солярка для испытания лифтов
</t>
        </r>
      </text>
    </comment>
    <comment ref="O2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4400-оценка соответствия лифта</t>
        </r>
      </text>
    </comment>
    <comment ref="O2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1300р-замена линолеума в  груз. лифте</t>
        </r>
      </text>
    </comment>
  </commentList>
</comments>
</file>

<file path=xl/sharedStrings.xml><?xml version="1.0" encoding="utf-8"?>
<sst xmlns="http://schemas.openxmlformats.org/spreadsheetml/2006/main" count="117" uniqueCount="101">
  <si>
    <t>декабрь</t>
  </si>
  <si>
    <t>Содержание</t>
  </si>
  <si>
    <t>итого</t>
  </si>
  <si>
    <t>ремонт</t>
  </si>
  <si>
    <t>Наименование работ</t>
  </si>
  <si>
    <t>ИТОГО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</si>
  <si>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</si>
  <si>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</si>
  <si>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</si>
  <si>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</si>
  <si>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</si>
  <si>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</si>
  <si>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</si>
  <si>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</si>
  <si>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</si>
  <si>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</si>
  <si>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</si>
  <si>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долг</t>
  </si>
  <si>
    <t>Итого</t>
  </si>
  <si>
    <t>начислено</t>
  </si>
  <si>
    <t>оплачено</t>
  </si>
  <si>
    <t>оценка соответствия лифта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</si>
  <si>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</si>
  <si>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</si>
  <si>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</si>
  <si>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</si>
  <si>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</si>
  <si>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</si>
  <si>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</si>
  <si>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</si>
  <si>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</si>
  <si>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</si>
  <si>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</si>
  <si>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</si>
  <si>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</si>
  <si>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</si>
  <si>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</si>
  <si>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</si>
  <si>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</si>
  <si>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</si>
  <si>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</si>
  <si>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</si>
  <si>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</si>
  <si>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</si>
  <si>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</si>
  <si>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</si>
  <si>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</si>
  <si>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</si>
  <si>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</si>
  <si>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</si>
  <si>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</si>
  <si>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</si>
  <si>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</si>
  <si>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</si>
  <si>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</si>
  <si>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</si>
  <si>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</si>
  <si>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</si>
  <si>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</si>
  <si>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</si>
  <si>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</si>
  <si>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</si>
  <si>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</si>
  <si>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</si>
  <si>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</si>
  <si>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</si>
  <si>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</si>
  <si>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</si>
  <si>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</si>
  <si>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покос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</si>
  <si>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</si>
  <si>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</si>
  <si>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</si>
  <si>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</si>
  <si>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</si>
  <si>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Информация о доходах и расходах по дому __Калинина 11__на 2017год.</t>
  </si>
  <si>
    <t>29460,84-эл-во</t>
  </si>
  <si>
    <t>2771,28-х/в</t>
  </si>
  <si>
    <t>Непредвиденные затраты</t>
  </si>
  <si>
    <t>24251,94-эл-во</t>
  </si>
  <si>
    <t>4208,24-х/в</t>
  </si>
  <si>
    <t>страховка лифта</t>
  </si>
  <si>
    <t>стекло+ОСП</t>
  </si>
  <si>
    <t>погрузка и вывоз мусора</t>
  </si>
  <si>
    <t>Еремеева</t>
  </si>
  <si>
    <t>услуги сторонних организаций, разовые работы</t>
  </si>
  <si>
    <t>поверка тепловычислителя</t>
  </si>
  <si>
    <t>лампочки 22 шт</t>
  </si>
  <si>
    <t>замок навесной</t>
  </si>
  <si>
    <t xml:space="preserve">23217,68р-эл-во
</t>
  </si>
  <si>
    <t>5373,20-х/в</t>
  </si>
  <si>
    <t>4519,57-х/в</t>
  </si>
  <si>
    <t>15369,42-эл-во</t>
  </si>
  <si>
    <t>10614,64-х/в</t>
  </si>
  <si>
    <t>21231,21-эл-во</t>
  </si>
  <si>
    <t>урна</t>
  </si>
  <si>
    <t>диагностика теплосчетчика</t>
  </si>
  <si>
    <t>ремонт вызывной панели</t>
  </si>
  <si>
    <t>диагностика прибора уч. Тепловой энергии</t>
  </si>
  <si>
    <t>масло+лампочки+солярка для испытания лифтов</t>
  </si>
  <si>
    <t>замена линолеума в  груз. лифте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</si>
</sst>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&quot;р.&quot;_-;\-* #,##0&quot;р.&quot;_-;_-* &quot;-&quot;&quot;р.&quot;_-;_-@_-"/>
    <numFmt numFmtId="165" formatCode="#,##0.00_р_."/>
  </numFmts>
  <fonts count="21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0" fontId="0" fillId="0" borderId="4" xfId="0" applyBorder="1"/>
    <xf numFmtId="4" fontId="2" fillId="0" borderId="0" xfId="0" applyNumberFormat="1" applyFont="1" applyFill="1" applyBorder="1"/>
    <xf numFmtId="0" fontId="0" fillId="3" borderId="4" xfId="0" applyFill="1" applyBorder="1"/>
    <xf numFmtId="0" fontId="9" fillId="4" borderId="7" xfId="0" applyFont="1" applyFill="1" applyBorder="1" applyAlignment="1"/>
    <xf numFmtId="0" fontId="9" fillId="4" borderId="7" xfId="0" applyFont="1" applyFill="1" applyBorder="1" applyAlignment="1">
      <alignment wrapText="1"/>
    </xf>
    <xf numFmtId="2" fontId="2" fillId="4" borderId="7" xfId="0" applyNumberFormat="1" applyFont="1" applyFill="1" applyBorder="1" applyAlignment="1"/>
    <xf numFmtId="0" fontId="13" fillId="4" borderId="4" xfId="0" applyNumberFormat="1" applyFont="1" applyFill="1" applyBorder="1" applyAlignment="1">
      <alignment wrapText="1"/>
    </xf>
    <xf numFmtId="2" fontId="4" fillId="0" borderId="8" xfId="0" applyNumberFormat="1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 wrapText="1"/>
    </xf>
    <xf numFmtId="4" fontId="4" fillId="4" borderId="4" xfId="0" applyNumberFormat="1" applyFont="1" applyFill="1" applyBorder="1" applyAlignment="1">
      <alignment horizontal="center"/>
    </xf>
    <xf numFmtId="2" fontId="3" fillId="5" borderId="8" xfId="0" applyNumberFormat="1" applyFont="1" applyFill="1" applyBorder="1" applyAlignment="1">
      <alignment horizontal="center" vertical="top" wrapText="1"/>
    </xf>
    <xf numFmtId="2" fontId="3" fillId="7" borderId="10" xfId="0" applyNumberFormat="1" applyFont="1" applyFill="1" applyBorder="1" applyAlignment="1">
      <alignment horizontal="center" vertical="top" wrapText="1"/>
    </xf>
    <xf numFmtId="17" fontId="4" fillId="8" borderId="4" xfId="0" applyNumberFormat="1" applyFont="1" applyFill="1" applyBorder="1" applyAlignment="1">
      <alignment horizontal="left"/>
    </xf>
    <xf numFmtId="165" fontId="3" fillId="7" borderId="4" xfId="0" applyNumberFormat="1" applyFont="1" applyFill="1" applyBorder="1"/>
    <xf numFmtId="165" fontId="3" fillId="7" borderId="8" xfId="0" applyNumberFormat="1" applyFont="1" applyFill="1" applyBorder="1"/>
    <xf numFmtId="4" fontId="3" fillId="7" borderId="4" xfId="0" applyNumberFormat="1" applyFont="1" applyFill="1" applyBorder="1"/>
    <xf numFmtId="17" fontId="4" fillId="9" borderId="4" xfId="0" applyNumberFormat="1" applyFont="1" applyFill="1" applyBorder="1" applyAlignment="1">
      <alignment horizontal="left" wrapText="1"/>
    </xf>
    <xf numFmtId="0" fontId="4" fillId="2" borderId="4" xfId="0" applyFont="1" applyFill="1" applyBorder="1"/>
    <xf numFmtId="0" fontId="0" fillId="4" borderId="4" xfId="0" applyFill="1" applyBorder="1"/>
    <xf numFmtId="0" fontId="0" fillId="4" borderId="1" xfId="0" applyFill="1" applyBorder="1"/>
    <xf numFmtId="0" fontId="0" fillId="0" borderId="1" xfId="0" applyBorder="1"/>
    <xf numFmtId="0" fontId="4" fillId="0" borderId="0" xfId="0" applyFont="1" applyFill="1" applyBorder="1"/>
    <xf numFmtId="165" fontId="12" fillId="0" borderId="0" xfId="0" applyNumberFormat="1" applyFont="1" applyFill="1" applyBorder="1"/>
    <xf numFmtId="165" fontId="3" fillId="10" borderId="4" xfId="0" applyNumberFormat="1" applyFont="1" applyFill="1" applyBorder="1"/>
    <xf numFmtId="2" fontId="3" fillId="0" borderId="8" xfId="0" applyNumberFormat="1" applyFont="1" applyFill="1" applyBorder="1" applyAlignment="1">
      <alignment horizontal="right" vertical="top" wrapText="1"/>
    </xf>
    <xf numFmtId="2" fontId="2" fillId="0" borderId="4" xfId="0" applyNumberFormat="1" applyFont="1" applyFill="1" applyBorder="1" applyAlignment="1">
      <alignment vertical="top" wrapText="1"/>
    </xf>
    <xf numFmtId="2" fontId="2" fillId="0" borderId="8" xfId="0" applyNumberFormat="1" applyFont="1" applyFill="1" applyBorder="1" applyAlignment="1">
      <alignment horizontal="center" vertical="top" wrapText="1"/>
    </xf>
    <xf numFmtId="165" fontId="7" fillId="2" borderId="4" xfId="0" applyNumberFormat="1" applyFont="1" applyFill="1" applyBorder="1"/>
    <xf numFmtId="4" fontId="15" fillId="2" borderId="4" xfId="0" applyNumberFormat="1" applyFont="1" applyFill="1" applyBorder="1"/>
    <xf numFmtId="2" fontId="9" fillId="7" borderId="1" xfId="0" applyNumberFormat="1" applyFont="1" applyFill="1" applyBorder="1" applyAlignment="1">
      <alignment horizontal="center" vertical="top" wrapText="1"/>
    </xf>
    <xf numFmtId="2" fontId="3" fillId="7" borderId="2" xfId="0" applyNumberFormat="1" applyFont="1" applyFill="1" applyBorder="1" applyAlignment="1">
      <alignment horizontal="center" vertical="top" wrapText="1"/>
    </xf>
    <xf numFmtId="2" fontId="3" fillId="7" borderId="3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left" vertical="top" textRotation="90" wrapText="1"/>
    </xf>
    <xf numFmtId="2" fontId="3" fillId="0" borderId="8" xfId="0" applyNumberFormat="1" applyFont="1" applyBorder="1" applyAlignment="1">
      <alignment vertical="top" textRotation="90" wrapText="1"/>
    </xf>
    <xf numFmtId="2" fontId="3" fillId="4" borderId="8" xfId="0" applyNumberFormat="1" applyFont="1" applyFill="1" applyBorder="1" applyAlignment="1">
      <alignment horizontal="right" vertical="top" wrapText="1"/>
    </xf>
    <xf numFmtId="2" fontId="3" fillId="4" borderId="4" xfId="0" applyNumberFormat="1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wrapText="1"/>
    </xf>
    <xf numFmtId="0" fontId="3" fillId="11" borderId="3" xfId="0" applyFont="1" applyFill="1" applyBorder="1" applyAlignment="1">
      <alignment horizontal="center" wrapText="1"/>
    </xf>
    <xf numFmtId="4" fontId="3" fillId="10" borderId="4" xfId="0" applyNumberFormat="1" applyFont="1" applyFill="1" applyBorder="1"/>
    <xf numFmtId="165" fontId="7" fillId="11" borderId="4" xfId="0" applyNumberFormat="1" applyFont="1" applyFill="1" applyBorder="1"/>
    <xf numFmtId="165" fontId="3" fillId="10" borderId="4" xfId="0" applyNumberFormat="1" applyFont="1" applyFill="1" applyBorder="1" applyAlignment="1"/>
    <xf numFmtId="165" fontId="7" fillId="5" borderId="4" xfId="0" applyNumberFormat="1" applyFont="1" applyFill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4" fontId="11" fillId="4" borderId="4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3" xfId="0" applyBorder="1" applyAlignment="1">
      <alignment horizontal="center"/>
    </xf>
    <xf numFmtId="2" fontId="3" fillId="7" borderId="2" xfId="0" applyNumberFormat="1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7" fillId="4" borderId="4" xfId="0" applyNumberFormat="1" applyFont="1" applyFill="1" applyBorder="1"/>
    <xf numFmtId="2" fontId="2" fillId="0" borderId="4" xfId="0" applyNumberFormat="1" applyFont="1" applyBorder="1" applyAlignment="1">
      <alignment horizontal="center" wrapText="1"/>
    </xf>
    <xf numFmtId="0" fontId="14" fillId="0" borderId="0" xfId="0" applyFont="1"/>
    <xf numFmtId="165" fontId="7" fillId="0" borderId="0" xfId="0" applyNumberFormat="1" applyFont="1" applyFill="1" applyBorder="1"/>
    <xf numFmtId="0" fontId="0" fillId="0" borderId="0" xfId="0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7" fillId="10" borderId="4" xfId="0" applyNumberFormat="1" applyFont="1" applyFill="1" applyBorder="1" applyAlignment="1"/>
    <xf numFmtId="165" fontId="7" fillId="7" borderId="4" xfId="0" applyNumberFormat="1" applyFont="1" applyFill="1" applyBorder="1"/>
    <xf numFmtId="0" fontId="0" fillId="0" borderId="0" xfId="0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wrapText="1"/>
    </xf>
    <xf numFmtId="2" fontId="2" fillId="0" borderId="14" xfId="0" applyNumberFormat="1" applyFont="1" applyBorder="1" applyAlignment="1">
      <alignment horizontal="left" wrapText="1"/>
    </xf>
    <xf numFmtId="2" fontId="2" fillId="0" borderId="9" xfId="0" applyNumberFormat="1" applyFont="1" applyBorder="1" applyAlignment="1">
      <alignment horizontal="left" wrapText="1"/>
    </xf>
    <xf numFmtId="2" fontId="2" fillId="0" borderId="5" xfId="0" applyNumberFormat="1" applyFont="1" applyBorder="1" applyAlignment="1">
      <alignment horizontal="left" textRotation="90" wrapText="1"/>
    </xf>
    <xf numFmtId="2" fontId="2" fillId="0" borderId="6" xfId="0" applyNumberFormat="1" applyFont="1" applyBorder="1" applyAlignment="1">
      <alignment horizontal="left" textRotation="90" wrapText="1"/>
    </xf>
    <xf numFmtId="2" fontId="2" fillId="0" borderId="8" xfId="0" applyNumberFormat="1" applyFont="1" applyBorder="1" applyAlignment="1">
      <alignment horizontal="left" textRotation="90" wrapText="1"/>
    </xf>
    <xf numFmtId="2" fontId="12" fillId="0" borderId="5" xfId="0" applyNumberFormat="1" applyFont="1" applyBorder="1" applyAlignment="1">
      <alignment horizontal="center" wrapText="1"/>
    </xf>
    <xf numFmtId="2" fontId="12" fillId="0" borderId="6" xfId="0" applyNumberFormat="1" applyFont="1" applyBorder="1" applyAlignment="1">
      <alignment horizontal="center" wrapText="1"/>
    </xf>
    <xf numFmtId="2" fontId="12" fillId="0" borderId="8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left" vertical="top" textRotation="90" wrapText="1"/>
    </xf>
    <xf numFmtId="2" fontId="3" fillId="0" borderId="8" xfId="0" applyNumberFormat="1" applyFont="1" applyBorder="1" applyAlignment="1">
      <alignment horizontal="left" vertical="top" textRotation="90" wrapText="1"/>
    </xf>
    <xf numFmtId="2" fontId="4" fillId="0" borderId="5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9" fillId="7" borderId="1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5" fontId="12" fillId="0" borderId="1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2" fontId="9" fillId="7" borderId="2" xfId="0" applyNumberFormat="1" applyFont="1" applyFill="1" applyBorder="1" applyAlignment="1">
      <alignment horizontal="center" vertical="top" wrapText="1"/>
    </xf>
    <xf numFmtId="2" fontId="9" fillId="7" borderId="3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 textRotation="90" wrapText="1"/>
    </xf>
    <xf numFmtId="2" fontId="3" fillId="0" borderId="6" xfId="0" applyNumberFormat="1" applyFont="1" applyBorder="1" applyAlignment="1">
      <alignment horizontal="center" textRotation="90" wrapText="1"/>
    </xf>
    <xf numFmtId="2" fontId="3" fillId="0" borderId="8" xfId="0" applyNumberFormat="1" applyFont="1" applyBorder="1" applyAlignment="1">
      <alignment horizontal="center" textRotation="90" wrapText="1"/>
    </xf>
    <xf numFmtId="165" fontId="7" fillId="2" borderId="1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0" fontId="18" fillId="3" borderId="3" xfId="0" applyFont="1" applyFill="1" applyBorder="1"/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20" fillId="0" borderId="0" xfId="0" applyNumberFormat="1" applyFont="1" applyFill="1" applyBorder="1"/>
    <xf numFmtId="0" fontId="19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0A8E6"/>
      <color rgb="FFED77DF"/>
      <color rgb="FFC989DB"/>
      <color rgb="FFE224CB"/>
      <color rgb="FF936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U63"/>
  <sheetViews>
    <sheetView tabSelected="1" workbookViewId="0">
      <selection activeCell="N36" sqref="N36"/>
    </sheetView>
  </sheetViews>
  <sheetFormatPr defaultRowHeight="15" x14ac:dyDescent="0.25"/>
  <cols>
    <col min="2" max="2" width="6.28515625" customWidth="1"/>
    <col min="3" max="3" width="4.85546875" customWidth="1"/>
    <col min="4" max="4" width="9.85546875" customWidth="1"/>
    <col min="5" max="7" width="8.85546875" customWidth="1"/>
    <col min="8" max="8" width="9.28515625" customWidth="1"/>
    <col min="9" max="9" width="8.85546875" customWidth="1"/>
    <col min="10" max="10" width="9" customWidth="1"/>
    <col min="11" max="11" width="9.7109375" customWidth="1"/>
    <col min="12" max="12" width="9" customWidth="1"/>
    <col min="13" max="13" width="9.7109375" customWidth="1"/>
    <col min="14" max="14" width="9.85546875" customWidth="1"/>
    <col min="16" max="16" width="8.42578125" customWidth="1"/>
    <col min="17" max="17" width="8.85546875" customWidth="1"/>
    <col min="20" max="20" width="10.140625" customWidth="1"/>
  </cols>
  <sheetData>
    <row r="1" spans="1:21" ht="15" customHeight="1" x14ac:dyDescent="0.25">
      <c r="A1" s="70" t="s">
        <v>75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1" hidden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1" x14ac:dyDescent="0.25">
      <c r="A3" s="72"/>
      <c r="B3" s="68"/>
      <c r="C3" s="68"/>
      <c r="D3" s="68"/>
      <c r="E3" s="137"/>
      <c r="F3" s="66" t="s">
        <v>22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7"/>
      <c r="S3" s="51"/>
      <c r="T3" s="3"/>
    </row>
    <row r="4" spans="1:21" x14ac:dyDescent="0.25">
      <c r="A4" s="6"/>
      <c r="B4" s="138" t="s">
        <v>23</v>
      </c>
      <c r="C4" s="139"/>
      <c r="D4" s="139"/>
      <c r="E4" s="140"/>
      <c r="F4" s="73" t="s">
        <v>1</v>
      </c>
      <c r="G4" s="74"/>
      <c r="H4" s="74"/>
      <c r="I4" s="74"/>
      <c r="J4" s="74"/>
      <c r="K4" s="74"/>
      <c r="L4" s="74"/>
      <c r="M4" s="74"/>
      <c r="N4" s="74"/>
      <c r="O4" s="74"/>
      <c r="P4" s="75" t="s">
        <v>24</v>
      </c>
      <c r="Q4" s="76"/>
      <c r="R4" s="79" t="s">
        <v>25</v>
      </c>
      <c r="S4" s="149" t="s">
        <v>78</v>
      </c>
      <c r="T4" s="82" t="s">
        <v>5</v>
      </c>
    </row>
    <row r="5" spans="1:21" ht="45.75" customHeight="1" x14ac:dyDescent="0.25">
      <c r="A5" s="7"/>
      <c r="B5" s="85" t="s">
        <v>26</v>
      </c>
      <c r="C5" s="85" t="s">
        <v>3</v>
      </c>
      <c r="D5" s="85" t="s">
        <v>70</v>
      </c>
      <c r="E5" s="92" t="s">
        <v>2</v>
      </c>
      <c r="F5" s="90" t="s">
        <v>27</v>
      </c>
      <c r="G5" s="90" t="s">
        <v>28</v>
      </c>
      <c r="H5" s="90" t="s">
        <v>29</v>
      </c>
      <c r="I5" s="90" t="s">
        <v>30</v>
      </c>
      <c r="J5" s="90" t="s">
        <v>31</v>
      </c>
      <c r="K5" s="90" t="s">
        <v>32</v>
      </c>
      <c r="L5" s="90" t="s">
        <v>33</v>
      </c>
      <c r="M5" s="90" t="s">
        <v>34</v>
      </c>
      <c r="N5" s="94" t="s">
        <v>35</v>
      </c>
      <c r="O5" s="96"/>
      <c r="P5" s="77"/>
      <c r="Q5" s="78"/>
      <c r="R5" s="80"/>
      <c r="S5" s="150"/>
      <c r="T5" s="83"/>
    </row>
    <row r="6" spans="1:21" ht="74.25" customHeight="1" x14ac:dyDescent="0.25">
      <c r="A6" s="8"/>
      <c r="B6" s="86"/>
      <c r="C6" s="86"/>
      <c r="D6" s="86"/>
      <c r="E6" s="93"/>
      <c r="F6" s="91"/>
      <c r="G6" s="91"/>
      <c r="H6" s="91"/>
      <c r="I6" s="91"/>
      <c r="J6" s="91"/>
      <c r="K6" s="91"/>
      <c r="L6" s="91"/>
      <c r="M6" s="91"/>
      <c r="N6" s="36" t="s">
        <v>71</v>
      </c>
      <c r="O6" s="36" t="s">
        <v>85</v>
      </c>
      <c r="P6" s="35" t="s">
        <v>36</v>
      </c>
      <c r="Q6" s="35" t="s">
        <v>37</v>
      </c>
      <c r="R6" s="81"/>
      <c r="S6" s="151"/>
      <c r="T6" s="84"/>
    </row>
    <row r="7" spans="1:21" x14ac:dyDescent="0.25">
      <c r="A7" s="9">
        <v>2016</v>
      </c>
      <c r="B7" s="10">
        <v>19</v>
      </c>
      <c r="C7" s="10">
        <v>2.5</v>
      </c>
      <c r="D7" s="10">
        <v>1.5</v>
      </c>
      <c r="E7" s="49">
        <f>SUM(B7:D7)</f>
        <v>23</v>
      </c>
      <c r="F7" s="27">
        <v>1.8</v>
      </c>
      <c r="G7" s="27">
        <v>1.1000000000000001</v>
      </c>
      <c r="H7" s="27">
        <v>1.6</v>
      </c>
      <c r="I7" s="27">
        <v>0.2</v>
      </c>
      <c r="J7" s="27">
        <v>2.25</v>
      </c>
      <c r="K7" s="27">
        <v>6.75</v>
      </c>
      <c r="L7" s="27">
        <v>1.1000000000000001</v>
      </c>
      <c r="M7" s="27">
        <v>2.7</v>
      </c>
      <c r="N7" s="37">
        <v>0</v>
      </c>
      <c r="O7" s="27">
        <v>1.5</v>
      </c>
      <c r="P7" s="28">
        <v>1.25</v>
      </c>
      <c r="Q7" s="28">
        <v>1.25</v>
      </c>
      <c r="R7" s="29">
        <v>1.5</v>
      </c>
      <c r="S7" s="57">
        <v>0</v>
      </c>
      <c r="T7" s="11">
        <f>SUM(F7:R7)</f>
        <v>23</v>
      </c>
    </row>
    <row r="8" spans="1:21" x14ac:dyDescent="0.25">
      <c r="A8" s="9">
        <v>2017</v>
      </c>
      <c r="B8" s="133" t="s">
        <v>72</v>
      </c>
      <c r="C8" s="134"/>
      <c r="D8" s="135"/>
      <c r="E8" s="49">
        <v>29.75</v>
      </c>
      <c r="F8" s="27">
        <v>1.8</v>
      </c>
      <c r="G8" s="27">
        <v>1.1000000000000001</v>
      </c>
      <c r="H8" s="27">
        <v>1.6</v>
      </c>
      <c r="I8" s="27">
        <v>0.2</v>
      </c>
      <c r="J8" s="27">
        <v>2.25</v>
      </c>
      <c r="K8" s="27">
        <v>6.75</v>
      </c>
      <c r="L8" s="27">
        <v>1.1000000000000001</v>
      </c>
      <c r="M8" s="27">
        <v>2.7</v>
      </c>
      <c r="N8" s="38">
        <v>6.75</v>
      </c>
      <c r="O8" s="27">
        <v>1.5</v>
      </c>
      <c r="P8" s="28">
        <v>1.25</v>
      </c>
      <c r="Q8" s="28">
        <v>1.25</v>
      </c>
      <c r="R8" s="29">
        <v>1.5</v>
      </c>
      <c r="S8" s="29">
        <v>0</v>
      </c>
      <c r="T8" s="11">
        <f>SUM(F8:R8)</f>
        <v>29.75</v>
      </c>
    </row>
    <row r="9" spans="1:21" x14ac:dyDescent="0.25">
      <c r="A9" s="9">
        <v>2017</v>
      </c>
      <c r="B9" s="133" t="s">
        <v>73</v>
      </c>
      <c r="C9" s="134"/>
      <c r="D9" s="135"/>
      <c r="E9" s="49">
        <v>32.96</v>
      </c>
      <c r="F9" s="27">
        <v>1.8</v>
      </c>
      <c r="G9" s="27">
        <v>1.1000000000000001</v>
      </c>
      <c r="H9" s="27">
        <v>1.6</v>
      </c>
      <c r="I9" s="27">
        <v>0.2</v>
      </c>
      <c r="J9" s="27">
        <v>2.25</v>
      </c>
      <c r="K9" s="27">
        <v>6.75</v>
      </c>
      <c r="L9" s="27">
        <v>1.1000000000000001</v>
      </c>
      <c r="M9" s="27">
        <v>2.7</v>
      </c>
      <c r="N9" s="38">
        <v>9.9600000000000009</v>
      </c>
      <c r="O9" s="27">
        <v>1.5</v>
      </c>
      <c r="P9" s="28">
        <v>1.25</v>
      </c>
      <c r="Q9" s="28">
        <v>1.25</v>
      </c>
      <c r="R9" s="29">
        <v>1.5</v>
      </c>
      <c r="S9" s="29">
        <v>0</v>
      </c>
      <c r="T9" s="11">
        <f>SUM(F9:S9)</f>
        <v>32.96</v>
      </c>
    </row>
    <row r="10" spans="1:21" ht="18" customHeight="1" x14ac:dyDescent="0.25">
      <c r="A10" s="155" t="s">
        <v>38</v>
      </c>
      <c r="B10" s="156"/>
      <c r="C10" s="156"/>
      <c r="D10" s="157"/>
      <c r="E10" s="12">
        <v>3991</v>
      </c>
      <c r="F10" s="94" t="s">
        <v>39</v>
      </c>
      <c r="G10" s="95"/>
      <c r="H10" s="95"/>
      <c r="I10" s="95"/>
      <c r="J10" s="95"/>
      <c r="K10" s="95"/>
      <c r="L10" s="95"/>
      <c r="M10" s="95"/>
      <c r="N10" s="95"/>
      <c r="O10" s="96"/>
      <c r="P10" s="97" t="s">
        <v>40</v>
      </c>
      <c r="Q10" s="98"/>
      <c r="R10" s="11" t="s">
        <v>41</v>
      </c>
      <c r="S10" s="11"/>
      <c r="T10" s="11"/>
    </row>
    <row r="11" spans="1:21" ht="26.25" customHeight="1" x14ac:dyDescent="0.25">
      <c r="A11" s="87" t="s">
        <v>42</v>
      </c>
      <c r="B11" s="88"/>
      <c r="C11" s="88"/>
      <c r="D11" s="88"/>
      <c r="E11" s="89"/>
      <c r="F11" s="13">
        <f>E10*F7</f>
        <v>7183.8</v>
      </c>
      <c r="G11" s="13">
        <f>E10*G7</f>
        <v>4390.1000000000004</v>
      </c>
      <c r="H11" s="13">
        <f>E10*H8</f>
        <v>6385.6</v>
      </c>
      <c r="I11" s="13">
        <f>E10*I7</f>
        <v>798.2</v>
      </c>
      <c r="J11" s="13">
        <f>E10*J7</f>
        <v>8979.75</v>
      </c>
      <c r="K11" s="13">
        <f>E10*K8</f>
        <v>26939.25</v>
      </c>
      <c r="L11" s="13">
        <f>E10*L8</f>
        <v>4390.1000000000004</v>
      </c>
      <c r="M11" s="13">
        <f>E10*M7</f>
        <v>10775.7</v>
      </c>
      <c r="N11" s="13">
        <f>N9*E10</f>
        <v>39750.36</v>
      </c>
      <c r="O11" s="13">
        <f>E10*O7</f>
        <v>5986.5</v>
      </c>
      <c r="P11" s="13">
        <f>E10*P7</f>
        <v>4988.75</v>
      </c>
      <c r="Q11" s="13">
        <f>E10*Q7</f>
        <v>4988.75</v>
      </c>
      <c r="R11" s="13">
        <f>E10*R7</f>
        <v>5986.5</v>
      </c>
      <c r="S11" s="13">
        <v>0</v>
      </c>
      <c r="T11" s="13">
        <f>SUM(F11:R11)</f>
        <v>131543.35999999999</v>
      </c>
      <c r="U11" s="50"/>
    </row>
    <row r="12" spans="1:21" x14ac:dyDescent="0.25">
      <c r="A12" s="129" t="s">
        <v>20</v>
      </c>
      <c r="B12" s="129"/>
      <c r="C12" s="129"/>
      <c r="D12" s="129"/>
      <c r="E12" s="130"/>
      <c r="F12" s="99" t="s">
        <v>43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</row>
    <row r="13" spans="1:21" ht="24.75" customHeight="1" x14ac:dyDescent="0.25">
      <c r="A13" s="144" t="s">
        <v>44</v>
      </c>
      <c r="B13" s="144"/>
      <c r="C13" s="144"/>
      <c r="D13" s="145"/>
      <c r="E13" s="56">
        <v>-102811.68000000005</v>
      </c>
      <c r="F13" s="32"/>
      <c r="G13" s="33"/>
      <c r="H13" s="14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2"/>
      <c r="T13" s="34"/>
    </row>
    <row r="14" spans="1:21" x14ac:dyDescent="0.25">
      <c r="A14" s="39"/>
      <c r="B14" s="143" t="s">
        <v>19</v>
      </c>
      <c r="C14" s="143"/>
      <c r="D14" s="40" t="s">
        <v>20</v>
      </c>
      <c r="E14" s="41" t="s">
        <v>17</v>
      </c>
      <c r="F14" s="32"/>
      <c r="G14" s="33"/>
      <c r="H14" s="1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52"/>
      <c r="T14" s="34"/>
    </row>
    <row r="15" spans="1:21" x14ac:dyDescent="0.25">
      <c r="A15" s="15" t="s">
        <v>45</v>
      </c>
      <c r="B15" s="141">
        <f>78789.7+9608.5</f>
        <v>88398.2</v>
      </c>
      <c r="C15" s="154"/>
      <c r="D15" s="42">
        <f>28310.7+26435.25+5590.35+3247.75+3435.75+2544.75</f>
        <v>69564.549999999988</v>
      </c>
      <c r="E15" s="43"/>
      <c r="F15" s="16">
        <f>E10*F8</f>
        <v>7183.8</v>
      </c>
      <c r="G15" s="16">
        <v>5444.8</v>
      </c>
      <c r="H15" s="17">
        <f>E10*H8</f>
        <v>6385.6</v>
      </c>
      <c r="I15" s="16">
        <v>798.2</v>
      </c>
      <c r="J15" s="16">
        <v>8979.75</v>
      </c>
      <c r="K15" s="16">
        <f t="shared" ref="K15:K26" si="0">3991*6.75</f>
        <v>26939.25</v>
      </c>
      <c r="L15" s="16">
        <v>5444.8</v>
      </c>
      <c r="M15" s="16">
        <v>10775.7</v>
      </c>
      <c r="N15" s="16">
        <v>0</v>
      </c>
      <c r="O15" s="16">
        <v>0</v>
      </c>
      <c r="P15" s="44">
        <v>0</v>
      </c>
      <c r="Q15" s="44">
        <v>0</v>
      </c>
      <c r="R15" s="16">
        <f>E10*R8</f>
        <v>5986.5</v>
      </c>
      <c r="S15" s="16">
        <v>1975.82</v>
      </c>
      <c r="T15" s="18">
        <f t="shared" ref="T15:T26" si="1">SUM(F15:S15)</f>
        <v>79914.220000000016</v>
      </c>
    </row>
    <row r="16" spans="1:21" x14ac:dyDescent="0.25">
      <c r="A16" s="15" t="s">
        <v>46</v>
      </c>
      <c r="B16" s="141">
        <v>114260.98</v>
      </c>
      <c r="C16" s="142"/>
      <c r="D16" s="42">
        <f>20206.85+42900.1+2464.25+4912.25</f>
        <v>70483.45</v>
      </c>
      <c r="E16" s="43"/>
      <c r="F16" s="16">
        <f t="shared" ref="F16:F26" si="2">3991*1.8</f>
        <v>7183.8</v>
      </c>
      <c r="G16" s="16">
        <v>5444.8</v>
      </c>
      <c r="H16" s="17">
        <f t="shared" ref="H16:H26" si="3">3991*1.6</f>
        <v>6385.6</v>
      </c>
      <c r="I16" s="16">
        <f t="shared" ref="I16:I26" si="4">3991*0.2</f>
        <v>798.2</v>
      </c>
      <c r="J16" s="16">
        <f t="shared" ref="J16:J26" si="5">3991*2.25</f>
        <v>8979.75</v>
      </c>
      <c r="K16" s="16">
        <f t="shared" si="0"/>
        <v>26939.25</v>
      </c>
      <c r="L16" s="16">
        <v>5444.8</v>
      </c>
      <c r="M16" s="16">
        <f t="shared" ref="M16:M26" si="6">3991*2.7</f>
        <v>10775.7</v>
      </c>
      <c r="N16" s="16">
        <f>E10*N8</f>
        <v>26939.25</v>
      </c>
      <c r="O16" s="16">
        <v>0</v>
      </c>
      <c r="P16" s="44">
        <v>0</v>
      </c>
      <c r="Q16" s="44">
        <v>0</v>
      </c>
      <c r="R16" s="16">
        <f t="shared" ref="R16:R26" si="7">3991*1.5</f>
        <v>5986.5</v>
      </c>
      <c r="S16" s="16">
        <f>I33-N16</f>
        <v>4792.869999999999</v>
      </c>
      <c r="T16" s="18">
        <f t="shared" si="1"/>
        <v>109670.52</v>
      </c>
    </row>
    <row r="17" spans="1:20" x14ac:dyDescent="0.25">
      <c r="A17" s="15" t="s">
        <v>7</v>
      </c>
      <c r="B17" s="141">
        <v>114260.98</v>
      </c>
      <c r="C17" s="142"/>
      <c r="D17" s="42">
        <f>30638.04+57938.55</f>
        <v>88576.59</v>
      </c>
      <c r="E17" s="43"/>
      <c r="F17" s="16">
        <f t="shared" si="2"/>
        <v>7183.8</v>
      </c>
      <c r="G17" s="16">
        <v>5444.8</v>
      </c>
      <c r="H17" s="17">
        <f t="shared" si="3"/>
        <v>6385.6</v>
      </c>
      <c r="I17" s="16">
        <f t="shared" si="4"/>
        <v>798.2</v>
      </c>
      <c r="J17" s="16">
        <f t="shared" si="5"/>
        <v>8979.75</v>
      </c>
      <c r="K17" s="16">
        <f t="shared" si="0"/>
        <v>26939.25</v>
      </c>
      <c r="L17" s="16">
        <v>5444.8</v>
      </c>
      <c r="M17" s="16">
        <f t="shared" si="6"/>
        <v>10775.7</v>
      </c>
      <c r="N17" s="16">
        <v>26936.25</v>
      </c>
      <c r="O17" s="16">
        <v>1700</v>
      </c>
      <c r="P17" s="44">
        <v>425</v>
      </c>
      <c r="Q17" s="44">
        <v>10590</v>
      </c>
      <c r="R17" s="16">
        <f t="shared" si="7"/>
        <v>5986.5</v>
      </c>
      <c r="S17" s="16">
        <f>I34-N17</f>
        <v>1523.9300000000003</v>
      </c>
      <c r="T17" s="18">
        <f t="shared" si="1"/>
        <v>119113.58000000002</v>
      </c>
    </row>
    <row r="18" spans="1:20" x14ac:dyDescent="0.25">
      <c r="A18" s="15" t="s">
        <v>47</v>
      </c>
      <c r="B18" s="141">
        <v>114260.98</v>
      </c>
      <c r="C18" s="142"/>
      <c r="D18" s="42">
        <f>20949.4+73243.48</f>
        <v>94192.88</v>
      </c>
      <c r="E18" s="43"/>
      <c r="F18" s="16">
        <f t="shared" si="2"/>
        <v>7183.8</v>
      </c>
      <c r="G18" s="16">
        <v>5444.8</v>
      </c>
      <c r="H18" s="17">
        <f t="shared" si="3"/>
        <v>6385.6</v>
      </c>
      <c r="I18" s="16">
        <f t="shared" si="4"/>
        <v>798.2</v>
      </c>
      <c r="J18" s="16">
        <f t="shared" si="5"/>
        <v>8979.75</v>
      </c>
      <c r="K18" s="16">
        <f t="shared" si="0"/>
        <v>26939.25</v>
      </c>
      <c r="L18" s="16">
        <v>5444.8</v>
      </c>
      <c r="M18" s="16">
        <f t="shared" si="6"/>
        <v>10775.7</v>
      </c>
      <c r="N18" s="16">
        <f>21106.23+5542.56</f>
        <v>26648.79</v>
      </c>
      <c r="O18" s="16">
        <v>1700</v>
      </c>
      <c r="P18" s="44">
        <f>27333+2038+28011</f>
        <v>57382</v>
      </c>
      <c r="Q18" s="44">
        <v>0</v>
      </c>
      <c r="R18" s="16">
        <f t="shared" si="7"/>
        <v>5986.5</v>
      </c>
      <c r="S18" s="16">
        <v>0</v>
      </c>
      <c r="T18" s="18">
        <f t="shared" si="1"/>
        <v>163669.19</v>
      </c>
    </row>
    <row r="19" spans="1:20" x14ac:dyDescent="0.25">
      <c r="A19" s="15" t="s">
        <v>9</v>
      </c>
      <c r="B19" s="141">
        <v>114260.98</v>
      </c>
      <c r="C19" s="142"/>
      <c r="D19" s="42">
        <f>38041.94+66191.99</f>
        <v>104233.93000000001</v>
      </c>
      <c r="E19" s="43"/>
      <c r="F19" s="16">
        <f t="shared" si="2"/>
        <v>7183.8</v>
      </c>
      <c r="G19" s="16">
        <v>5444.8</v>
      </c>
      <c r="H19" s="17">
        <f t="shared" si="3"/>
        <v>6385.6</v>
      </c>
      <c r="I19" s="16">
        <f t="shared" si="4"/>
        <v>798.2</v>
      </c>
      <c r="J19" s="16">
        <f t="shared" si="5"/>
        <v>8979.75</v>
      </c>
      <c r="K19" s="16">
        <f t="shared" si="0"/>
        <v>26939.25</v>
      </c>
      <c r="L19" s="16">
        <v>5444.8</v>
      </c>
      <c r="M19" s="16">
        <f t="shared" si="6"/>
        <v>10775.7</v>
      </c>
      <c r="N19" s="16">
        <f>19019.8+2771.28</f>
        <v>21791.079999999998</v>
      </c>
      <c r="O19" s="16">
        <v>710</v>
      </c>
      <c r="P19" s="44">
        <v>0</v>
      </c>
      <c r="Q19" s="44">
        <v>28250</v>
      </c>
      <c r="R19" s="16">
        <f t="shared" si="7"/>
        <v>5986.5</v>
      </c>
      <c r="S19" s="16">
        <v>0</v>
      </c>
      <c r="T19" s="18">
        <f t="shared" si="1"/>
        <v>128689.48000000001</v>
      </c>
    </row>
    <row r="20" spans="1:20" x14ac:dyDescent="0.25">
      <c r="A20" s="15" t="s">
        <v>10</v>
      </c>
      <c r="B20" s="141">
        <v>101471.34</v>
      </c>
      <c r="C20" s="142"/>
      <c r="D20" s="42">
        <f>24610+91251.59+4.59</f>
        <v>115866.18</v>
      </c>
      <c r="E20" s="43"/>
      <c r="F20" s="16">
        <f t="shared" si="2"/>
        <v>7183.8</v>
      </c>
      <c r="G20" s="16">
        <v>5444.8</v>
      </c>
      <c r="H20" s="17">
        <f t="shared" si="3"/>
        <v>6385.6</v>
      </c>
      <c r="I20" s="16">
        <f t="shared" si="4"/>
        <v>798.2</v>
      </c>
      <c r="J20" s="16">
        <f t="shared" si="5"/>
        <v>8979.75</v>
      </c>
      <c r="K20" s="16">
        <f t="shared" si="0"/>
        <v>26939.25</v>
      </c>
      <c r="L20" s="16">
        <v>5444.8</v>
      </c>
      <c r="M20" s="16">
        <f t="shared" si="6"/>
        <v>10775.7</v>
      </c>
      <c r="N20" s="16">
        <v>26936.25</v>
      </c>
      <c r="O20" s="16">
        <f>3250+710</f>
        <v>3960</v>
      </c>
      <c r="P20" s="44">
        <v>0</v>
      </c>
      <c r="Q20" s="44">
        <v>0</v>
      </c>
      <c r="R20" s="16">
        <f t="shared" si="7"/>
        <v>5986.5</v>
      </c>
      <c r="S20" s="16">
        <f>I35-N20</f>
        <v>1654.630000000001</v>
      </c>
      <c r="T20" s="18">
        <f t="shared" si="1"/>
        <v>110489.28000000001</v>
      </c>
    </row>
    <row r="21" spans="1:20" x14ac:dyDescent="0.25">
      <c r="A21" s="15" t="s">
        <v>11</v>
      </c>
      <c r="B21" s="141">
        <v>102047.45</v>
      </c>
      <c r="C21" s="142"/>
      <c r="D21" s="42">
        <f>22015.49+66053.75</f>
        <v>88069.24</v>
      </c>
      <c r="E21" s="43"/>
      <c r="F21" s="16">
        <f t="shared" si="2"/>
        <v>7183.8</v>
      </c>
      <c r="G21" s="16">
        <v>5444.8</v>
      </c>
      <c r="H21" s="17">
        <f t="shared" si="3"/>
        <v>6385.6</v>
      </c>
      <c r="I21" s="16">
        <f t="shared" si="4"/>
        <v>798.2</v>
      </c>
      <c r="J21" s="16">
        <f t="shared" si="5"/>
        <v>8979.75</v>
      </c>
      <c r="K21" s="16">
        <f t="shared" si="0"/>
        <v>26939.25</v>
      </c>
      <c r="L21" s="16">
        <v>5444.8</v>
      </c>
      <c r="M21" s="16">
        <f t="shared" si="6"/>
        <v>10775.7</v>
      </c>
      <c r="N21" s="16">
        <v>14247.87</v>
      </c>
      <c r="O21" s="16">
        <f>21500+440+600</f>
        <v>22540</v>
      </c>
      <c r="P21" s="44">
        <f>2514+4602+23690+4463</f>
        <v>35269</v>
      </c>
      <c r="Q21" s="44">
        <v>0</v>
      </c>
      <c r="R21" s="16">
        <f t="shared" si="7"/>
        <v>5986.5</v>
      </c>
      <c r="S21" s="16">
        <f>I36-N21</f>
        <v>5641.1199999999972</v>
      </c>
      <c r="T21" s="18">
        <f t="shared" si="1"/>
        <v>155636.39000000001</v>
      </c>
    </row>
    <row r="22" spans="1:20" x14ac:dyDescent="0.25">
      <c r="A22" s="15" t="s">
        <v>12</v>
      </c>
      <c r="B22" s="141">
        <v>102047.45</v>
      </c>
      <c r="C22" s="142"/>
      <c r="D22" s="42">
        <v>123397.23999999999</v>
      </c>
      <c r="E22" s="43"/>
      <c r="F22" s="16">
        <f t="shared" si="2"/>
        <v>7183.8</v>
      </c>
      <c r="G22" s="16">
        <v>5444.8</v>
      </c>
      <c r="H22" s="17">
        <f t="shared" si="3"/>
        <v>6385.6</v>
      </c>
      <c r="I22" s="16">
        <f t="shared" si="4"/>
        <v>798.2</v>
      </c>
      <c r="J22" s="16">
        <f t="shared" si="5"/>
        <v>8979.75</v>
      </c>
      <c r="K22" s="16">
        <f t="shared" si="0"/>
        <v>26939.25</v>
      </c>
      <c r="L22" s="16">
        <v>5444.8</v>
      </c>
      <c r="M22" s="16">
        <f t="shared" si="6"/>
        <v>10775.7</v>
      </c>
      <c r="N22" s="16">
        <v>14247.87</v>
      </c>
      <c r="O22" s="16">
        <f>2150+2700</f>
        <v>4850</v>
      </c>
      <c r="P22" s="44">
        <v>16056</v>
      </c>
      <c r="Q22" s="44">
        <v>0</v>
      </c>
      <c r="R22" s="16">
        <f t="shared" si="7"/>
        <v>5986.5</v>
      </c>
      <c r="S22" s="16">
        <f>I37-N22</f>
        <v>17597.979999999996</v>
      </c>
      <c r="T22" s="18">
        <f t="shared" si="1"/>
        <v>130690.25</v>
      </c>
    </row>
    <row r="23" spans="1:20" x14ac:dyDescent="0.25">
      <c r="A23" s="15" t="s">
        <v>48</v>
      </c>
      <c r="B23" s="141">
        <v>126589.49</v>
      </c>
      <c r="C23" s="142"/>
      <c r="D23" s="42">
        <v>104640.78000000001</v>
      </c>
      <c r="E23" s="43"/>
      <c r="F23" s="16">
        <f t="shared" si="2"/>
        <v>7183.8</v>
      </c>
      <c r="G23" s="16">
        <v>5444.8</v>
      </c>
      <c r="H23" s="17">
        <f t="shared" si="3"/>
        <v>6385.6</v>
      </c>
      <c r="I23" s="16">
        <f t="shared" si="4"/>
        <v>798.2</v>
      </c>
      <c r="J23" s="16">
        <f t="shared" si="5"/>
        <v>8979.75</v>
      </c>
      <c r="K23" s="16">
        <f t="shared" si="0"/>
        <v>26939.25</v>
      </c>
      <c r="L23" s="16">
        <v>5444.8</v>
      </c>
      <c r="M23" s="16">
        <f t="shared" si="6"/>
        <v>10775.7</v>
      </c>
      <c r="N23" s="16">
        <f>4829.9+16998.3</f>
        <v>21828.199999999997</v>
      </c>
      <c r="O23" s="16">
        <v>3800</v>
      </c>
      <c r="P23" s="44">
        <v>1308</v>
      </c>
      <c r="Q23" s="44">
        <v>0</v>
      </c>
      <c r="R23" s="16">
        <f t="shared" si="7"/>
        <v>5986.5</v>
      </c>
      <c r="S23" s="16">
        <v>0</v>
      </c>
      <c r="T23" s="18">
        <f t="shared" si="1"/>
        <v>104874.6</v>
      </c>
    </row>
    <row r="24" spans="1:20" x14ac:dyDescent="0.25">
      <c r="A24" s="15" t="s">
        <v>49</v>
      </c>
      <c r="B24" s="141">
        <v>115451.46</v>
      </c>
      <c r="C24" s="142"/>
      <c r="D24" s="42">
        <f>35197.05+79810.72</f>
        <v>115007.77</v>
      </c>
      <c r="E24" s="43"/>
      <c r="F24" s="16">
        <f t="shared" si="2"/>
        <v>7183.8</v>
      </c>
      <c r="G24" s="16">
        <v>5444.8</v>
      </c>
      <c r="H24" s="17">
        <f t="shared" si="3"/>
        <v>6385.6</v>
      </c>
      <c r="I24" s="16">
        <f t="shared" si="4"/>
        <v>798.2</v>
      </c>
      <c r="J24" s="16">
        <f t="shared" si="5"/>
        <v>8979.75</v>
      </c>
      <c r="K24" s="16">
        <f t="shared" si="0"/>
        <v>26939.25</v>
      </c>
      <c r="L24" s="16">
        <v>5444.8</v>
      </c>
      <c r="M24" s="16">
        <f t="shared" si="6"/>
        <v>10775.7</v>
      </c>
      <c r="N24" s="16">
        <f>2967.96+24324.84</f>
        <v>27292.799999999999</v>
      </c>
      <c r="O24" s="16">
        <f>2500</f>
        <v>2500</v>
      </c>
      <c r="P24" s="44">
        <v>0</v>
      </c>
      <c r="Q24" s="44">
        <v>0</v>
      </c>
      <c r="R24" s="16">
        <f t="shared" si="7"/>
        <v>5986.5</v>
      </c>
      <c r="S24" s="16">
        <v>0</v>
      </c>
      <c r="T24" s="18">
        <f t="shared" si="1"/>
        <v>107731.20000000001</v>
      </c>
    </row>
    <row r="25" spans="1:20" x14ac:dyDescent="0.25">
      <c r="A25" s="15" t="s">
        <v>50</v>
      </c>
      <c r="B25" s="141">
        <v>123324.94</v>
      </c>
      <c r="C25" s="142"/>
      <c r="D25" s="42">
        <f>34228.34+122795.2+106.85</f>
        <v>157130.38999999998</v>
      </c>
      <c r="E25" s="43"/>
      <c r="F25" s="16">
        <f t="shared" si="2"/>
        <v>7183.8</v>
      </c>
      <c r="G25" s="16">
        <v>5444.8</v>
      </c>
      <c r="H25" s="17">
        <f t="shared" si="3"/>
        <v>6385.6</v>
      </c>
      <c r="I25" s="16">
        <f t="shared" si="4"/>
        <v>798.2</v>
      </c>
      <c r="J25" s="16">
        <f t="shared" si="5"/>
        <v>8979.75</v>
      </c>
      <c r="K25" s="16">
        <f t="shared" si="0"/>
        <v>26939.25</v>
      </c>
      <c r="L25" s="16">
        <v>5444.8</v>
      </c>
      <c r="M25" s="16">
        <f t="shared" si="6"/>
        <v>10775.7</v>
      </c>
      <c r="N25" s="16">
        <f>795.7+26300.4</f>
        <v>27096.100000000002</v>
      </c>
      <c r="O25" s="16">
        <v>4400</v>
      </c>
      <c r="P25" s="44">
        <f>10780+4014</f>
        <v>14794</v>
      </c>
      <c r="Q25" s="44">
        <v>0</v>
      </c>
      <c r="R25" s="16">
        <f t="shared" si="7"/>
        <v>5986.5</v>
      </c>
      <c r="S25" s="16">
        <v>0</v>
      </c>
      <c r="T25" s="18">
        <f t="shared" si="1"/>
        <v>124228.50000000001</v>
      </c>
    </row>
    <row r="26" spans="1:20" x14ac:dyDescent="0.25">
      <c r="A26" s="15" t="s">
        <v>51</v>
      </c>
      <c r="B26" s="141">
        <v>91946.34</v>
      </c>
      <c r="C26" s="142"/>
      <c r="D26" s="42">
        <f>42583.14+84482.52</f>
        <v>127065.66</v>
      </c>
      <c r="E26" s="62"/>
      <c r="F26" s="16">
        <f t="shared" si="2"/>
        <v>7183.8</v>
      </c>
      <c r="G26" s="16">
        <v>5444.8</v>
      </c>
      <c r="H26" s="17">
        <f t="shared" si="3"/>
        <v>6385.6</v>
      </c>
      <c r="I26" s="16">
        <f t="shared" si="4"/>
        <v>798.2</v>
      </c>
      <c r="J26" s="16">
        <f t="shared" si="5"/>
        <v>8979.75</v>
      </c>
      <c r="K26" s="16">
        <f t="shared" si="0"/>
        <v>26939.25</v>
      </c>
      <c r="L26" s="16">
        <v>5444.8</v>
      </c>
      <c r="M26" s="16">
        <f t="shared" si="6"/>
        <v>10775.7</v>
      </c>
      <c r="N26" s="16">
        <f>7559.15+29500.08</f>
        <v>37059.230000000003</v>
      </c>
      <c r="O26" s="63">
        <v>1300</v>
      </c>
      <c r="P26" s="44">
        <v>0</v>
      </c>
      <c r="Q26" s="44">
        <v>0</v>
      </c>
      <c r="R26" s="16">
        <f t="shared" si="7"/>
        <v>5986.5</v>
      </c>
      <c r="S26" s="16">
        <v>0</v>
      </c>
      <c r="T26" s="18">
        <f t="shared" si="1"/>
        <v>116297.63</v>
      </c>
    </row>
    <row r="27" spans="1:20" ht="24.75" x14ac:dyDescent="0.25">
      <c r="A27" s="19" t="s">
        <v>52</v>
      </c>
      <c r="B27" s="141">
        <v>0</v>
      </c>
      <c r="C27" s="142"/>
      <c r="D27" s="42">
        <f>1800+1800+1800+1800</f>
        <v>7200</v>
      </c>
      <c r="E27" s="2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44"/>
      <c r="Q27" s="44"/>
      <c r="R27" s="16"/>
      <c r="S27" s="16"/>
      <c r="T27" s="18"/>
    </row>
    <row r="28" spans="1:20" ht="24.75" x14ac:dyDescent="0.25">
      <c r="A28" s="19" t="s">
        <v>84</v>
      </c>
      <c r="B28" s="141">
        <v>0</v>
      </c>
      <c r="C28" s="142"/>
      <c r="D28" s="42">
        <f>30000+45000+30000+43500</f>
        <v>148500</v>
      </c>
      <c r="E28" s="2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44"/>
      <c r="Q28" s="44"/>
      <c r="R28" s="16"/>
      <c r="S28" s="16"/>
      <c r="T28" s="18"/>
    </row>
    <row r="29" spans="1:20" x14ac:dyDescent="0.25">
      <c r="A29" s="20" t="s">
        <v>2</v>
      </c>
      <c r="B29" s="152">
        <f>SUM(B15:B28)</f>
        <v>1308320.5899999999</v>
      </c>
      <c r="C29" s="153"/>
      <c r="D29" s="30">
        <f>SUM(D15:D28)</f>
        <v>1413928.66</v>
      </c>
      <c r="E29" s="30"/>
      <c r="F29" s="30">
        <f t="shared" ref="F29:T29" si="8">SUM(F15:F28)</f>
        <v>86205.60000000002</v>
      </c>
      <c r="G29" s="30">
        <f t="shared" si="8"/>
        <v>65337.600000000013</v>
      </c>
      <c r="H29" s="30">
        <f t="shared" si="8"/>
        <v>76627.199999999997</v>
      </c>
      <c r="I29" s="30">
        <f t="shared" si="8"/>
        <v>9578.4</v>
      </c>
      <c r="J29" s="30">
        <f t="shared" si="8"/>
        <v>107757</v>
      </c>
      <c r="K29" s="30">
        <f t="shared" si="8"/>
        <v>323271</v>
      </c>
      <c r="L29" s="30">
        <f t="shared" si="8"/>
        <v>65337.600000000013</v>
      </c>
      <c r="M29" s="30">
        <f t="shared" si="8"/>
        <v>129308.39999999998</v>
      </c>
      <c r="N29" s="30">
        <f t="shared" si="8"/>
        <v>271023.69</v>
      </c>
      <c r="O29" s="30">
        <f t="shared" si="8"/>
        <v>47460</v>
      </c>
      <c r="P29" s="30">
        <f t="shared" si="8"/>
        <v>125234</v>
      </c>
      <c r="Q29" s="30">
        <f t="shared" si="8"/>
        <v>38840</v>
      </c>
      <c r="R29" s="30">
        <f t="shared" si="8"/>
        <v>71838</v>
      </c>
      <c r="S29" s="30">
        <f t="shared" si="8"/>
        <v>33186.349999999991</v>
      </c>
      <c r="T29" s="31">
        <f t="shared" si="8"/>
        <v>1451004.8400000003</v>
      </c>
    </row>
    <row r="30" spans="1:20" ht="13.5" customHeight="1" x14ac:dyDescent="0.2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5" t="s">
        <v>16</v>
      </c>
      <c r="R30" s="108">
        <f>E13+D29-T29</f>
        <v>-139887.86000000034</v>
      </c>
      <c r="S30" s="108"/>
      <c r="T30" s="108"/>
    </row>
    <row r="31" spans="1:20" ht="13.5" customHeight="1" x14ac:dyDescent="0.2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5"/>
      <c r="R31" s="65"/>
      <c r="S31" s="65"/>
      <c r="T31" s="65"/>
    </row>
    <row r="32" spans="1:20" ht="13.5" customHeight="1" x14ac:dyDescent="0.25">
      <c r="A32" s="24"/>
      <c r="B32" s="2"/>
      <c r="C32" s="2"/>
      <c r="D32" s="2"/>
      <c r="E32" s="2"/>
      <c r="F32" s="2"/>
      <c r="G32" s="2"/>
      <c r="H32" s="170"/>
      <c r="I32" s="170"/>
      <c r="J32" s="170"/>
      <c r="K32" s="170"/>
      <c r="L32" s="170"/>
      <c r="M32" s="2"/>
      <c r="N32" s="2"/>
      <c r="O32" s="2"/>
      <c r="P32" s="2"/>
      <c r="Q32" s="25"/>
      <c r="R32" s="65"/>
      <c r="S32" s="65"/>
      <c r="T32" s="65"/>
    </row>
    <row r="33" spans="1:20" ht="11.25" customHeight="1" x14ac:dyDescent="0.25">
      <c r="A33" s="24"/>
      <c r="B33" s="1" t="s">
        <v>7</v>
      </c>
      <c r="C33" s="147">
        <v>1700</v>
      </c>
      <c r="D33" s="147"/>
      <c r="E33" s="2" t="s">
        <v>81</v>
      </c>
      <c r="F33" s="2"/>
      <c r="G33" s="2"/>
      <c r="H33" s="170" t="s">
        <v>6</v>
      </c>
      <c r="I33" s="170">
        <f>29460.84+2271.28</f>
        <v>31732.12</v>
      </c>
      <c r="J33" s="170" t="s">
        <v>76</v>
      </c>
      <c r="K33" s="170" t="s">
        <v>77</v>
      </c>
      <c r="L33" s="170"/>
      <c r="M33" s="2"/>
      <c r="N33" s="2"/>
      <c r="O33" s="2"/>
      <c r="P33" s="2"/>
      <c r="Q33" s="2"/>
      <c r="R33" s="2"/>
      <c r="S33" s="2"/>
      <c r="T33" s="4"/>
    </row>
    <row r="34" spans="1:20" x14ac:dyDescent="0.25">
      <c r="A34" s="24"/>
      <c r="B34" s="2" t="s">
        <v>8</v>
      </c>
      <c r="C34" s="147">
        <v>1700</v>
      </c>
      <c r="D34" s="147"/>
      <c r="E34" s="2" t="s">
        <v>82</v>
      </c>
      <c r="F34" s="2"/>
      <c r="G34" s="2"/>
      <c r="H34" s="170" t="s">
        <v>7</v>
      </c>
      <c r="I34" s="170">
        <f>24251.94+4208.24</f>
        <v>28460.18</v>
      </c>
      <c r="J34" s="170" t="s">
        <v>79</v>
      </c>
      <c r="K34" s="170" t="s">
        <v>80</v>
      </c>
      <c r="L34" s="170"/>
      <c r="M34" s="2"/>
      <c r="N34" s="2"/>
      <c r="O34" s="2"/>
      <c r="P34" s="2"/>
      <c r="Q34" s="2"/>
      <c r="R34" s="2"/>
      <c r="S34" s="2"/>
      <c r="T34" s="4"/>
    </row>
    <row r="35" spans="1:20" x14ac:dyDescent="0.25">
      <c r="A35" s="24"/>
      <c r="B35" t="s">
        <v>9</v>
      </c>
      <c r="C35" s="147">
        <v>710</v>
      </c>
      <c r="D35" s="147"/>
      <c r="E35" s="58" t="s">
        <v>69</v>
      </c>
      <c r="G35" s="2"/>
      <c r="H35" s="170" t="s">
        <v>10</v>
      </c>
      <c r="I35" s="170">
        <f>23217.68+5373.2</f>
        <v>28590.880000000001</v>
      </c>
      <c r="J35" s="170" t="s">
        <v>89</v>
      </c>
      <c r="K35" s="170" t="s">
        <v>90</v>
      </c>
      <c r="L35" s="170"/>
      <c r="M35" s="2"/>
      <c r="N35" s="2"/>
      <c r="O35" s="2"/>
      <c r="P35" s="59"/>
      <c r="Q35" s="2"/>
      <c r="R35" s="2"/>
      <c r="S35" s="2"/>
      <c r="T35" s="4"/>
    </row>
    <row r="36" spans="1:20" x14ac:dyDescent="0.25">
      <c r="A36" s="24"/>
      <c r="B36" s="2" t="s">
        <v>10</v>
      </c>
      <c r="C36" s="146">
        <v>3250</v>
      </c>
      <c r="D36" s="146"/>
      <c r="E36" s="2" t="s">
        <v>83</v>
      </c>
      <c r="F36" s="2"/>
      <c r="G36" s="2"/>
      <c r="H36" s="170" t="s">
        <v>11</v>
      </c>
      <c r="I36" s="170">
        <f>4519.57+15369.42</f>
        <v>19888.989999999998</v>
      </c>
      <c r="J36" s="170" t="s">
        <v>91</v>
      </c>
      <c r="K36" s="170" t="s">
        <v>92</v>
      </c>
      <c r="L36" s="170"/>
      <c r="M36" s="2"/>
      <c r="N36" s="2"/>
      <c r="O36" s="2"/>
      <c r="P36" s="2"/>
      <c r="Q36" s="2"/>
      <c r="R36" s="2"/>
      <c r="S36" s="2"/>
      <c r="T36" s="4"/>
    </row>
    <row r="37" spans="1:20" x14ac:dyDescent="0.25">
      <c r="C37" s="146">
        <v>710</v>
      </c>
      <c r="D37" s="146"/>
      <c r="E37" s="2" t="s">
        <v>69</v>
      </c>
      <c r="H37" s="170" t="s">
        <v>12</v>
      </c>
      <c r="I37" s="170">
        <f>21231.21+10614.64</f>
        <v>31845.85</v>
      </c>
      <c r="J37" s="170" t="s">
        <v>93</v>
      </c>
      <c r="K37" s="170" t="s">
        <v>94</v>
      </c>
      <c r="L37" s="171"/>
      <c r="R37" s="71"/>
      <c r="S37" s="71"/>
      <c r="T37" s="71"/>
    </row>
    <row r="38" spans="1:20" x14ac:dyDescent="0.25">
      <c r="B38" s="2" t="s">
        <v>11</v>
      </c>
      <c r="C38" s="146">
        <v>21500</v>
      </c>
      <c r="D38" s="146"/>
      <c r="E38" s="2" t="s">
        <v>86</v>
      </c>
      <c r="F38" s="2"/>
      <c r="H38" s="171"/>
      <c r="I38" s="171"/>
      <c r="J38" s="171"/>
      <c r="K38" s="171"/>
      <c r="L38" s="171"/>
      <c r="R38" s="60"/>
      <c r="S38" s="60"/>
      <c r="T38" s="60"/>
    </row>
    <row r="39" spans="1:20" x14ac:dyDescent="0.25">
      <c r="C39" s="146">
        <v>440</v>
      </c>
      <c r="D39" s="146"/>
      <c r="E39" s="2" t="s">
        <v>87</v>
      </c>
      <c r="R39" s="60"/>
      <c r="S39" s="60"/>
      <c r="T39" s="60"/>
    </row>
    <row r="40" spans="1:20" x14ac:dyDescent="0.25">
      <c r="C40" s="146">
        <v>600</v>
      </c>
      <c r="D40" s="146"/>
      <c r="E40" s="2" t="s">
        <v>88</v>
      </c>
      <c r="R40" s="60"/>
      <c r="S40" s="60"/>
      <c r="T40" s="60"/>
    </row>
    <row r="41" spans="1:20" x14ac:dyDescent="0.25">
      <c r="B41" t="s">
        <v>12</v>
      </c>
      <c r="C41" s="146">
        <v>2150</v>
      </c>
      <c r="D41" s="146"/>
      <c r="E41" s="2" t="s">
        <v>95</v>
      </c>
      <c r="R41" s="64"/>
      <c r="S41" s="64"/>
      <c r="T41" s="64"/>
    </row>
    <row r="42" spans="1:20" x14ac:dyDescent="0.25">
      <c r="C42" s="146">
        <v>2700</v>
      </c>
      <c r="D42" s="146"/>
      <c r="E42" s="2" t="s">
        <v>96</v>
      </c>
      <c r="R42" s="64"/>
      <c r="S42" s="64"/>
      <c r="T42" s="64"/>
    </row>
    <row r="43" spans="1:20" x14ac:dyDescent="0.25">
      <c r="B43" t="s">
        <v>13</v>
      </c>
      <c r="C43" s="146">
        <v>1200</v>
      </c>
      <c r="D43" s="146"/>
      <c r="E43" s="2" t="s">
        <v>97</v>
      </c>
      <c r="R43" s="64"/>
      <c r="S43" s="64"/>
      <c r="T43" s="64"/>
    </row>
    <row r="44" spans="1:20" x14ac:dyDescent="0.25">
      <c r="C44" s="146">
        <v>2600</v>
      </c>
      <c r="D44" s="146"/>
      <c r="E44" s="2" t="s">
        <v>98</v>
      </c>
      <c r="R44" s="64"/>
      <c r="S44" s="64"/>
      <c r="T44" s="64"/>
    </row>
    <row r="45" spans="1:20" x14ac:dyDescent="0.25">
      <c r="B45" t="s">
        <v>14</v>
      </c>
      <c r="C45" s="146">
        <v>2500</v>
      </c>
      <c r="D45" s="146"/>
      <c r="E45" s="2" t="s">
        <v>99</v>
      </c>
      <c r="R45" s="64"/>
      <c r="S45" s="64"/>
      <c r="T45" s="64"/>
    </row>
    <row r="46" spans="1:20" x14ac:dyDescent="0.25">
      <c r="B46" t="s">
        <v>15</v>
      </c>
      <c r="C46" s="146">
        <v>4400</v>
      </c>
      <c r="D46" s="146"/>
      <c r="E46" s="2" t="s">
        <v>21</v>
      </c>
      <c r="R46" s="64"/>
      <c r="S46" s="64"/>
      <c r="T46" s="64"/>
    </row>
    <row r="47" spans="1:20" x14ac:dyDescent="0.25">
      <c r="B47" t="s">
        <v>0</v>
      </c>
      <c r="C47" s="146">
        <v>1300</v>
      </c>
      <c r="D47" s="146"/>
      <c r="E47" s="2" t="s">
        <v>100</v>
      </c>
      <c r="R47" s="64"/>
      <c r="S47" s="64"/>
      <c r="T47" s="64"/>
    </row>
    <row r="48" spans="1:20" x14ac:dyDescent="0.25">
      <c r="C48" s="146"/>
      <c r="D48" s="146"/>
      <c r="E48" s="2"/>
      <c r="R48" s="64"/>
      <c r="S48" s="64"/>
      <c r="T48" s="64"/>
    </row>
    <row r="49" spans="1:20" x14ac:dyDescent="0.25">
      <c r="C49" s="146"/>
      <c r="D49" s="146"/>
      <c r="E49" s="2"/>
      <c r="R49" s="64"/>
      <c r="S49" s="64"/>
      <c r="T49" s="64"/>
    </row>
    <row r="50" spans="1:20" x14ac:dyDescent="0.25">
      <c r="C50" s="146"/>
      <c r="D50" s="146"/>
      <c r="E50" s="2"/>
      <c r="R50" s="64"/>
      <c r="S50" s="64"/>
      <c r="T50" s="64"/>
    </row>
    <row r="51" spans="1:20" x14ac:dyDescent="0.25">
      <c r="C51" s="61"/>
      <c r="D51" s="61"/>
      <c r="E51" s="2"/>
      <c r="R51" s="60"/>
      <c r="S51" s="60"/>
      <c r="T51" s="60"/>
    </row>
    <row r="52" spans="1:20" x14ac:dyDescent="0.25">
      <c r="A52" s="148" t="s">
        <v>53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</row>
    <row r="53" spans="1:20" x14ac:dyDescent="0.25">
      <c r="A53" s="160" t="s">
        <v>54</v>
      </c>
      <c r="B53" s="161"/>
      <c r="C53" s="164" t="s">
        <v>4</v>
      </c>
      <c r="D53" s="165"/>
      <c r="E53" s="165"/>
      <c r="F53" s="165"/>
      <c r="G53" s="165"/>
      <c r="H53" s="165"/>
      <c r="I53" s="165"/>
      <c r="J53" s="165"/>
      <c r="K53" s="166"/>
      <c r="L53" s="100" t="s">
        <v>55</v>
      </c>
      <c r="M53" s="101"/>
      <c r="N53" s="102"/>
      <c r="O53" s="106" t="s">
        <v>56</v>
      </c>
      <c r="P53" s="106"/>
      <c r="Q53" s="160" t="s">
        <v>57</v>
      </c>
      <c r="R53" s="161"/>
      <c r="S53" s="54"/>
      <c r="T53" s="106" t="s">
        <v>58</v>
      </c>
    </row>
    <row r="54" spans="1:20" ht="27.75" customHeight="1" x14ac:dyDescent="0.25">
      <c r="A54" s="162"/>
      <c r="B54" s="163"/>
      <c r="C54" s="167"/>
      <c r="D54" s="168"/>
      <c r="E54" s="168"/>
      <c r="F54" s="168"/>
      <c r="G54" s="168"/>
      <c r="H54" s="168"/>
      <c r="I54" s="168"/>
      <c r="J54" s="168"/>
      <c r="K54" s="169"/>
      <c r="L54" s="103"/>
      <c r="M54" s="104"/>
      <c r="N54" s="105"/>
      <c r="O54" s="107"/>
      <c r="P54" s="107"/>
      <c r="Q54" s="162"/>
      <c r="R54" s="163"/>
      <c r="S54" s="55"/>
      <c r="T54" s="107"/>
    </row>
    <row r="55" spans="1:20" x14ac:dyDescent="0.25">
      <c r="A55" s="115"/>
      <c r="B55" s="116"/>
      <c r="C55" s="109" t="s">
        <v>59</v>
      </c>
      <c r="D55" s="110"/>
      <c r="E55" s="110"/>
      <c r="F55" s="110"/>
      <c r="G55" s="110"/>
      <c r="H55" s="110"/>
      <c r="I55" s="110"/>
      <c r="J55" s="110"/>
      <c r="K55" s="111"/>
      <c r="L55" s="112"/>
      <c r="M55" s="113"/>
      <c r="N55" s="114"/>
      <c r="O55" s="5"/>
      <c r="P55" s="5"/>
      <c r="Q55" s="158"/>
      <c r="R55" s="159"/>
      <c r="S55" s="53"/>
      <c r="T55" s="5"/>
    </row>
    <row r="56" spans="1:20" x14ac:dyDescent="0.25">
      <c r="A56" s="115"/>
      <c r="B56" s="116"/>
      <c r="C56" s="109" t="s">
        <v>60</v>
      </c>
      <c r="D56" s="110"/>
      <c r="E56" s="110"/>
      <c r="F56" s="110"/>
      <c r="G56" s="110"/>
      <c r="H56" s="110"/>
      <c r="I56" s="110"/>
      <c r="J56" s="110"/>
      <c r="K56" s="111"/>
      <c r="L56" s="117" t="s">
        <v>74</v>
      </c>
      <c r="M56" s="118"/>
      <c r="N56" s="119"/>
      <c r="O56" s="21">
        <v>0.05</v>
      </c>
      <c r="P56" s="22"/>
      <c r="Q56" s="66">
        <f>SUM(O56*2002.5*12)</f>
        <v>1201.5</v>
      </c>
      <c r="R56" s="67"/>
      <c r="S56" s="51"/>
      <c r="T56" s="21"/>
    </row>
    <row r="57" spans="1:20" x14ac:dyDescent="0.25">
      <c r="A57" s="115"/>
      <c r="B57" s="116"/>
      <c r="C57" s="109" t="s">
        <v>61</v>
      </c>
      <c r="D57" s="110"/>
      <c r="E57" s="110"/>
      <c r="F57" s="110"/>
      <c r="G57" s="110"/>
      <c r="H57" s="110"/>
      <c r="I57" s="110"/>
      <c r="J57" s="110"/>
      <c r="K57" s="111"/>
      <c r="L57" s="117" t="s">
        <v>74</v>
      </c>
      <c r="M57" s="118"/>
      <c r="N57" s="119"/>
      <c r="O57" s="21">
        <v>0.05</v>
      </c>
      <c r="P57" s="22"/>
      <c r="Q57" s="66">
        <f t="shared" ref="Q57:Q62" si="9">SUM(O57*2002.5*12)</f>
        <v>1201.5</v>
      </c>
      <c r="R57" s="67"/>
      <c r="S57" s="51"/>
      <c r="T57" s="21"/>
    </row>
    <row r="58" spans="1:20" x14ac:dyDescent="0.25">
      <c r="A58" s="115"/>
      <c r="B58" s="116"/>
      <c r="C58" s="109" t="s">
        <v>62</v>
      </c>
      <c r="D58" s="110"/>
      <c r="E58" s="110"/>
      <c r="F58" s="110"/>
      <c r="G58" s="110"/>
      <c r="H58" s="110"/>
      <c r="I58" s="110"/>
      <c r="J58" s="110"/>
      <c r="K58" s="111"/>
      <c r="L58" s="117" t="s">
        <v>63</v>
      </c>
      <c r="M58" s="118"/>
      <c r="N58" s="119"/>
      <c r="O58" s="21">
        <v>0.15</v>
      </c>
      <c r="P58" s="22"/>
      <c r="Q58" s="66">
        <f t="shared" si="9"/>
        <v>3604.5</v>
      </c>
      <c r="R58" s="67"/>
      <c r="S58" s="51"/>
      <c r="T58" s="21"/>
    </row>
    <row r="59" spans="1:20" x14ac:dyDescent="0.25">
      <c r="A59" s="66"/>
      <c r="B59" s="67"/>
      <c r="C59" s="120" t="s">
        <v>64</v>
      </c>
      <c r="D59" s="121"/>
      <c r="E59" s="121"/>
      <c r="F59" s="121"/>
      <c r="G59" s="121"/>
      <c r="H59" s="121"/>
      <c r="I59" s="121"/>
      <c r="J59" s="121"/>
      <c r="K59" s="122"/>
      <c r="L59" s="117" t="s">
        <v>74</v>
      </c>
      <c r="M59" s="118"/>
      <c r="N59" s="119"/>
      <c r="O59" s="3">
        <v>0.15</v>
      </c>
      <c r="P59" s="3"/>
      <c r="Q59" s="66">
        <f t="shared" si="9"/>
        <v>3604.5</v>
      </c>
      <c r="R59" s="67"/>
      <c r="S59" s="51"/>
      <c r="T59" s="3"/>
    </row>
    <row r="60" spans="1:20" x14ac:dyDescent="0.25">
      <c r="A60" s="66"/>
      <c r="B60" s="67"/>
      <c r="C60" s="123" t="s">
        <v>65</v>
      </c>
      <c r="D60" s="124"/>
      <c r="E60" s="124"/>
      <c r="F60" s="124"/>
      <c r="G60" s="124"/>
      <c r="H60" s="124"/>
      <c r="I60" s="124"/>
      <c r="J60" s="124"/>
      <c r="K60" s="125"/>
      <c r="L60" s="126" t="s">
        <v>66</v>
      </c>
      <c r="M60" s="127"/>
      <c r="N60" s="128"/>
      <c r="O60" s="3">
        <v>0.25</v>
      </c>
      <c r="P60" s="3"/>
      <c r="Q60" s="66">
        <f t="shared" si="9"/>
        <v>6007.5</v>
      </c>
      <c r="R60" s="67"/>
      <c r="S60" s="51"/>
      <c r="T60" s="3"/>
    </row>
    <row r="61" spans="1:20" x14ac:dyDescent="0.25">
      <c r="A61" s="66"/>
      <c r="B61" s="67"/>
      <c r="C61" s="123" t="s">
        <v>67</v>
      </c>
      <c r="D61" s="124"/>
      <c r="E61" s="124"/>
      <c r="F61" s="124"/>
      <c r="G61" s="124"/>
      <c r="H61" s="124"/>
      <c r="I61" s="124"/>
      <c r="J61" s="124"/>
      <c r="K61" s="125"/>
      <c r="L61" s="126" t="s">
        <v>66</v>
      </c>
      <c r="M61" s="127"/>
      <c r="N61" s="128"/>
      <c r="O61" s="3">
        <v>0.1</v>
      </c>
      <c r="P61" s="23"/>
      <c r="Q61" s="66">
        <f t="shared" si="9"/>
        <v>2403</v>
      </c>
      <c r="R61" s="67"/>
      <c r="S61" s="51"/>
      <c r="T61" s="3"/>
    </row>
    <row r="62" spans="1:20" x14ac:dyDescent="0.25">
      <c r="A62" s="66"/>
      <c r="B62" s="67"/>
      <c r="C62" s="120" t="s">
        <v>68</v>
      </c>
      <c r="D62" s="121"/>
      <c r="E62" s="121"/>
      <c r="F62" s="121"/>
      <c r="G62" s="121"/>
      <c r="H62" s="121"/>
      <c r="I62" s="121"/>
      <c r="J62" s="121"/>
      <c r="K62" s="122"/>
      <c r="L62" s="126" t="s">
        <v>66</v>
      </c>
      <c r="M62" s="127"/>
      <c r="N62" s="128"/>
      <c r="O62" s="3">
        <v>0.25</v>
      </c>
      <c r="P62" s="3"/>
      <c r="Q62" s="66">
        <f t="shared" si="9"/>
        <v>6007.5</v>
      </c>
      <c r="R62" s="67"/>
      <c r="S62" s="51"/>
      <c r="T62" s="3"/>
    </row>
    <row r="63" spans="1:20" x14ac:dyDescent="0.25">
      <c r="E63" s="45" t="s">
        <v>18</v>
      </c>
      <c r="F63" s="46"/>
      <c r="G63" s="46"/>
      <c r="H63" s="46"/>
      <c r="I63" s="46"/>
      <c r="J63" s="46"/>
      <c r="K63" s="46"/>
      <c r="L63" s="46"/>
      <c r="M63" s="46"/>
      <c r="N63" s="46"/>
      <c r="O63" s="47">
        <f>SUM(O56:O62)</f>
        <v>1</v>
      </c>
      <c r="P63" s="48"/>
      <c r="Q63" s="66">
        <f>SUM(Q56:Q62)</f>
        <v>24030</v>
      </c>
      <c r="R63" s="67"/>
      <c r="S63" s="51"/>
      <c r="T63" s="3"/>
    </row>
  </sheetData>
  <mergeCells count="109">
    <mergeCell ref="Q63:R63"/>
    <mergeCell ref="Q58:R58"/>
    <mergeCell ref="Q53:R54"/>
    <mergeCell ref="C37:D37"/>
    <mergeCell ref="A58:B58"/>
    <mergeCell ref="C58:K58"/>
    <mergeCell ref="L58:N58"/>
    <mergeCell ref="C38:D38"/>
    <mergeCell ref="L56:N56"/>
    <mergeCell ref="Q56:R56"/>
    <mergeCell ref="A57:B57"/>
    <mergeCell ref="C57:K57"/>
    <mergeCell ref="L57:N57"/>
    <mergeCell ref="Q57:R57"/>
    <mergeCell ref="A62:B62"/>
    <mergeCell ref="C62:K62"/>
    <mergeCell ref="A56:B56"/>
    <mergeCell ref="C56:K56"/>
    <mergeCell ref="C39:D39"/>
    <mergeCell ref="C40:D40"/>
    <mergeCell ref="C41:D41"/>
    <mergeCell ref="C42:D42"/>
    <mergeCell ref="C50:D50"/>
    <mergeCell ref="C43:D43"/>
    <mergeCell ref="C48:D48"/>
    <mergeCell ref="C49:D49"/>
    <mergeCell ref="C45:D45"/>
    <mergeCell ref="C46:D46"/>
    <mergeCell ref="L62:N62"/>
    <mergeCell ref="Q62:R62"/>
    <mergeCell ref="A59:B59"/>
    <mergeCell ref="C59:K59"/>
    <mergeCell ref="L59:N59"/>
    <mergeCell ref="Q59:R59"/>
    <mergeCell ref="A60:B60"/>
    <mergeCell ref="C60:K60"/>
    <mergeCell ref="L60:N60"/>
    <mergeCell ref="Q60:R60"/>
    <mergeCell ref="A61:B61"/>
    <mergeCell ref="C61:K61"/>
    <mergeCell ref="L61:N61"/>
    <mergeCell ref="Q61:R61"/>
    <mergeCell ref="T53:T54"/>
    <mergeCell ref="A55:B55"/>
    <mergeCell ref="C55:K55"/>
    <mergeCell ref="L55:N55"/>
    <mergeCell ref="Q55:R55"/>
    <mergeCell ref="A53:B54"/>
    <mergeCell ref="C53:K54"/>
    <mergeCell ref="L53:N54"/>
    <mergeCell ref="O53:O54"/>
    <mergeCell ref="P53:P54"/>
    <mergeCell ref="R30:T30"/>
    <mergeCell ref="R37:T37"/>
    <mergeCell ref="A52:T52"/>
    <mergeCell ref="S4:S6"/>
    <mergeCell ref="F5:F6"/>
    <mergeCell ref="G5:G6"/>
    <mergeCell ref="I5:I6"/>
    <mergeCell ref="J5:J6"/>
    <mergeCell ref="B29:C29"/>
    <mergeCell ref="B18:C18"/>
    <mergeCell ref="B19:C19"/>
    <mergeCell ref="B20:C20"/>
    <mergeCell ref="B21:C21"/>
    <mergeCell ref="B22:C22"/>
    <mergeCell ref="B15:C15"/>
    <mergeCell ref="P10:Q10"/>
    <mergeCell ref="C34:D34"/>
    <mergeCell ref="C36:D36"/>
    <mergeCell ref="C35:D35"/>
    <mergeCell ref="E5:E6"/>
    <mergeCell ref="A11:E11"/>
    <mergeCell ref="B28:C28"/>
    <mergeCell ref="B17:C17"/>
    <mergeCell ref="A10:D10"/>
    <mergeCell ref="B16:C16"/>
    <mergeCell ref="B23:C23"/>
    <mergeCell ref="B24:C24"/>
    <mergeCell ref="B25:C25"/>
    <mergeCell ref="B26:C26"/>
    <mergeCell ref="B27:C27"/>
    <mergeCell ref="B14:C14"/>
    <mergeCell ref="A13:D13"/>
    <mergeCell ref="C47:D47"/>
    <mergeCell ref="C33:D33"/>
    <mergeCell ref="C44:D44"/>
    <mergeCell ref="F10:O10"/>
    <mergeCell ref="A12:E12"/>
    <mergeCell ref="F12:T12"/>
    <mergeCell ref="B8:D8"/>
    <mergeCell ref="B9:D9"/>
    <mergeCell ref="D5:D6"/>
    <mergeCell ref="K5:K6"/>
    <mergeCell ref="L5:L6"/>
    <mergeCell ref="A1:T1"/>
    <mergeCell ref="A2:T2"/>
    <mergeCell ref="A3:E3"/>
    <mergeCell ref="F3:R3"/>
    <mergeCell ref="B4:E4"/>
    <mergeCell ref="F4:O4"/>
    <mergeCell ref="P4:Q5"/>
    <mergeCell ref="R4:R6"/>
    <mergeCell ref="T4:T6"/>
    <mergeCell ref="B5:B6"/>
    <mergeCell ref="N5:O5"/>
    <mergeCell ref="C5:C6"/>
    <mergeCell ref="M5:M6"/>
    <mergeCell ref="H5:H6"/>
  </mergeCells>
  <pageMargins left="8.3333333333333329E-2" right="4.1666666666666664E-2" top="4.1666666666666664E-2" bottom="1.0416666666666666E-2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2018-02-07T07:15:23Z</dcterms:modified>
</cp:coreProperties>
</file>