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225" windowHeight="4815" activeTab="0"/>
  </bookViews>
  <sheets>
    <sheet name="2017" sheetId="1" r:id="rId1"/>
  </sheets>
  <definedNames>
    <definedName name="_xlnm.Print_Area" localSheetId="0">'2017'!$B$30:$O$34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N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256,6-х/в</t>
        </r>
      </text>
    </comment>
    <comment ref="O18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7938р-покос</t>
        </r>
      </text>
    </comment>
    <comment ref="O20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7938р-покос</t>
        </r>
      </text>
    </comment>
    <comment ref="O19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156р-известь 10кг</t>
        </r>
      </text>
    </comment>
    <comment ref="N20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1466,59
-эл-во
153,96-х/в</t>
        </r>
      </text>
    </comment>
    <comment ref="N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238,71-х/в
805,68-эл-во</t>
        </r>
      </text>
    </comment>
    <comment ref="N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397,85-х/в
2004,79-эл-во</t>
        </r>
      </text>
    </comment>
    <comment ref="O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4811р-дезинсекция</t>
        </r>
      </text>
    </comment>
    <comment ref="O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3000р-замена элемента питания на ВПС</t>
        </r>
      </text>
    </comment>
  </commentList>
</comments>
</file>

<file path=xl/sharedStrings.xml><?xml version="1.0" encoding="utf-8"?>
<sst xmlns="http://schemas.openxmlformats.org/spreadsheetml/2006/main" count="98" uniqueCount="86">
  <si>
    <t>октябрь</t>
  </si>
  <si>
    <t>Содержание</t>
  </si>
  <si>
    <t>итого</t>
  </si>
  <si>
    <t>Наименование работ</t>
  </si>
  <si>
    <t>ИТОГО</t>
  </si>
  <si>
    <t>апрель</t>
  </si>
  <si>
    <t>февраль</t>
  </si>
  <si>
    <t>май</t>
  </si>
  <si>
    <t>июнь</t>
  </si>
  <si>
    <t>июль</t>
  </si>
  <si>
    <t>август</t>
  </si>
  <si>
    <t>сентябрь</t>
  </si>
  <si>
    <t>март</t>
  </si>
  <si>
    <t>долг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</si>
  <si>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</si>
  <si>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</si>
  <si>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</si>
  <si>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</si>
  <si>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</si>
  <si>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</si>
  <si>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ремонт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</si>
  <si>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</si>
  <si>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</si>
  <si>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</si>
  <si>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</si>
  <si>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</si>
  <si>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</si>
  <si>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</si>
  <si>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</si>
  <si>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</si>
  <si>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</si>
  <si>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</si>
  <si>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</si>
  <si>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</si>
  <si>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</si>
  <si>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</si>
  <si>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</si>
  <si>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</si>
  <si>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</si>
  <si>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</si>
  <si>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</si>
  <si>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</si>
  <si>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</si>
  <si>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</si>
  <si>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</si>
  <si>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</si>
  <si>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</si>
  <si>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</si>
  <si>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</si>
  <si>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</si>
  <si>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</si>
  <si>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</si>
  <si>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</si>
  <si>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</si>
  <si>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</si>
  <si>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</si>
  <si>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</si>
  <si>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</si>
  <si>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</si>
  <si>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</si>
  <si>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</si>
  <si>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</si>
  <si>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</si>
  <si>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</si>
  <si>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ИТОГО: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</si>
  <si>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</si>
  <si>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</si>
  <si>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</si>
  <si>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</si>
  <si>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</si>
  <si>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</si>
  <si>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</si>
  <si>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Информация о доходах и расходах по дому __Калинина 132/1__на 2017год.</t>
  </si>
  <si>
    <t>Непредвиденные затраты</t>
  </si>
  <si>
    <t>2204,80-эл-во</t>
  </si>
  <si>
    <t>256,6-х/в</t>
  </si>
  <si>
    <t>410,56-х/в</t>
  </si>
  <si>
    <t>1822,08-эл-во</t>
  </si>
  <si>
    <t>2857,92-эл-во</t>
  </si>
  <si>
    <t>461,88-х/в</t>
  </si>
  <si>
    <t>3906,24-эл-во</t>
  </si>
  <si>
    <t>205,28-х/в</t>
  </si>
  <si>
    <t>известь 10кг</t>
  </si>
  <si>
    <t>услуги сторонних организаций, разовые работы</t>
  </si>
  <si>
    <t>дезинсекция</t>
  </si>
  <si>
    <t>замена элемента питания на ВПС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</si>
</sst>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0.000"/>
    <numFmt numFmtId="175" formatCode="#,##0.000_р_."/>
    <numFmt numFmtId="176" formatCode="0.0000"/>
    <numFmt numFmtId="177" formatCode="#,##0.0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  <numFmt numFmtId="183" formatCode="#,##0.00&quot;р.&quot;"/>
  </numFmts>
  <fonts count="53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0"/>
      <name val="Arial Cyr"/>
      <family val="0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3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5" fillId="34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5" fillId="12" borderId="10" xfId="0" applyNumberFormat="1" applyFont="1" applyFill="1" applyBorder="1" applyAlignment="1">
      <alignment horizontal="left" wrapText="1"/>
    </xf>
    <xf numFmtId="172" fontId="1" fillId="35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172" fontId="1" fillId="9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 horizontal="right" vertical="top" wrapText="1"/>
    </xf>
    <xf numFmtId="2" fontId="7" fillId="33" borderId="10" xfId="0" applyNumberFormat="1" applyFont="1" applyFill="1" applyBorder="1" applyAlignment="1">
      <alignment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172" fontId="9" fillId="35" borderId="10" xfId="0" applyNumberFormat="1" applyFont="1" applyFill="1" applyBorder="1" applyAlignment="1">
      <alignment/>
    </xf>
    <xf numFmtId="2" fontId="0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Border="1" applyAlignment="1">
      <alignment vertical="top" textRotation="90" wrapText="1"/>
    </xf>
    <xf numFmtId="0" fontId="10" fillId="33" borderId="10" xfId="0" applyNumberFormat="1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9" fillId="36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9" fillId="7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2" fontId="1" fillId="13" borderId="16" xfId="0" applyNumberFormat="1" applyFont="1" applyFill="1" applyBorder="1" applyAlignment="1">
      <alignment horizontal="center" vertical="top" wrapText="1"/>
    </xf>
    <xf numFmtId="0" fontId="0" fillId="32" borderId="17" xfId="0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" fontId="9" fillId="33" borderId="10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2" borderId="15" xfId="0" applyFill="1" applyBorder="1" applyAlignment="1">
      <alignment horizontal="left" wrapText="1"/>
    </xf>
    <xf numFmtId="0" fontId="0" fillId="32" borderId="16" xfId="0" applyFill="1" applyBorder="1" applyAlignment="1">
      <alignment horizontal="left" wrapText="1"/>
    </xf>
    <xf numFmtId="0" fontId="0" fillId="32" borderId="17" xfId="0" applyFill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2" borderId="15" xfId="0" applyFill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0" fontId="0" fillId="32" borderId="17" xfId="0" applyFill="1" applyBorder="1" applyAlignment="1">
      <alignment horizontal="center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172" fontId="8" fillId="0" borderId="2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left" wrapText="1"/>
    </xf>
    <xf numFmtId="2" fontId="7" fillId="0" borderId="18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2" fontId="7" fillId="0" borderId="19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3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/>
    </xf>
    <xf numFmtId="172" fontId="1" fillId="32" borderId="15" xfId="0" applyNumberFormat="1" applyFont="1" applyFill="1" applyBorder="1" applyAlignment="1">
      <alignment horizontal="center"/>
    </xf>
    <xf numFmtId="172" fontId="1" fillId="32" borderId="17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1" fillId="35" borderId="15" xfId="0" applyNumberFormat="1" applyFont="1" applyFill="1" applyBorder="1" applyAlignment="1">
      <alignment horizontal="center"/>
    </xf>
    <xf numFmtId="172" fontId="1" fillId="35" borderId="17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2" borderId="17" xfId="0" applyFill="1" applyBorder="1" applyAlignment="1">
      <alignment/>
    </xf>
    <xf numFmtId="168" fontId="1" fillId="0" borderId="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1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U47"/>
  <sheetViews>
    <sheetView tabSelected="1" workbookViewId="0" topLeftCell="A1">
      <selection activeCell="N33" sqref="N33"/>
    </sheetView>
  </sheetViews>
  <sheetFormatPr defaultColWidth="9.00390625" defaultRowHeight="12.75"/>
  <cols>
    <col min="1" max="1" width="5.75390625" style="0" customWidth="1"/>
    <col min="2" max="2" width="6.375" style="0" customWidth="1"/>
    <col min="3" max="3" width="4.125" style="0" customWidth="1"/>
    <col min="5" max="5" width="7.75390625" style="0" customWidth="1"/>
    <col min="10" max="10" width="9.125" style="0" customWidth="1"/>
    <col min="11" max="11" width="0.2421875" style="0" hidden="1" customWidth="1"/>
    <col min="12" max="12" width="9.125" style="0" hidden="1" customWidth="1"/>
    <col min="13" max="13" width="9.375" style="0" customWidth="1"/>
    <col min="14" max="14" width="9.25390625" style="0" customWidth="1"/>
    <col min="16" max="17" width="7.75390625" style="0" customWidth="1"/>
    <col min="18" max="18" width="8.875" style="0" customWidth="1"/>
    <col min="19" max="19" width="8.25390625" style="0" customWidth="1"/>
  </cols>
  <sheetData>
    <row r="1" spans="1:20" ht="15.75">
      <c r="A1" s="107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ht="12.75">
      <c r="A3" s="108"/>
      <c r="B3" s="61"/>
      <c r="C3" s="61"/>
      <c r="D3" s="61"/>
      <c r="E3" s="158"/>
      <c r="F3" s="65" t="s">
        <v>15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51"/>
      <c r="T3" s="2"/>
    </row>
    <row r="4" spans="1:20" ht="12.75" customHeight="1">
      <c r="A4" s="6"/>
      <c r="B4" s="159" t="s">
        <v>16</v>
      </c>
      <c r="C4" s="160"/>
      <c r="D4" s="160"/>
      <c r="E4" s="161"/>
      <c r="F4" s="109" t="s">
        <v>1</v>
      </c>
      <c r="G4" s="110"/>
      <c r="H4" s="110"/>
      <c r="I4" s="110"/>
      <c r="J4" s="110"/>
      <c r="K4" s="110"/>
      <c r="L4" s="110"/>
      <c r="M4" s="110"/>
      <c r="N4" s="110"/>
      <c r="O4" s="110"/>
      <c r="P4" s="111" t="s">
        <v>17</v>
      </c>
      <c r="Q4" s="112"/>
      <c r="R4" s="115" t="s">
        <v>18</v>
      </c>
      <c r="S4" s="124" t="s">
        <v>73</v>
      </c>
      <c r="T4" s="118" t="s">
        <v>4</v>
      </c>
    </row>
    <row r="5" spans="1:20" ht="12.75">
      <c r="A5" s="7"/>
      <c r="B5" s="102" t="s">
        <v>19</v>
      </c>
      <c r="C5" s="102" t="s">
        <v>20</v>
      </c>
      <c r="D5" s="102" t="s">
        <v>67</v>
      </c>
      <c r="E5" s="104" t="s">
        <v>2</v>
      </c>
      <c r="F5" s="100" t="s">
        <v>21</v>
      </c>
      <c r="G5" s="100" t="s">
        <v>22</v>
      </c>
      <c r="H5" s="100" t="s">
        <v>23</v>
      </c>
      <c r="I5" s="100" t="s">
        <v>24</v>
      </c>
      <c r="J5" s="100" t="s">
        <v>25</v>
      </c>
      <c r="K5" s="100" t="s">
        <v>26</v>
      </c>
      <c r="L5" s="100" t="s">
        <v>27</v>
      </c>
      <c r="M5" s="100" t="s">
        <v>28</v>
      </c>
      <c r="N5" s="92" t="s">
        <v>29</v>
      </c>
      <c r="O5" s="94"/>
      <c r="P5" s="113"/>
      <c r="Q5" s="114"/>
      <c r="R5" s="116"/>
      <c r="S5" s="125"/>
      <c r="T5" s="119"/>
    </row>
    <row r="6" spans="1:20" ht="94.5">
      <c r="A6" s="9"/>
      <c r="B6" s="103"/>
      <c r="C6" s="103"/>
      <c r="D6" s="103"/>
      <c r="E6" s="105"/>
      <c r="F6" s="101"/>
      <c r="G6" s="101"/>
      <c r="H6" s="101"/>
      <c r="I6" s="101"/>
      <c r="J6" s="101"/>
      <c r="K6" s="101"/>
      <c r="L6" s="101"/>
      <c r="M6" s="101"/>
      <c r="N6" s="37" t="s">
        <v>68</v>
      </c>
      <c r="O6" s="37" t="s">
        <v>83</v>
      </c>
      <c r="P6" s="8" t="s">
        <v>30</v>
      </c>
      <c r="Q6" s="8" t="s">
        <v>31</v>
      </c>
      <c r="R6" s="117"/>
      <c r="S6" s="126"/>
      <c r="T6" s="120"/>
    </row>
    <row r="7" spans="1:20" ht="14.25">
      <c r="A7" s="38">
        <v>2016</v>
      </c>
      <c r="B7" s="10">
        <v>10</v>
      </c>
      <c r="C7" s="10">
        <v>4</v>
      </c>
      <c r="D7" s="10">
        <v>1.5</v>
      </c>
      <c r="E7" s="12">
        <f>SUM(B7:D7)</f>
        <v>15.5</v>
      </c>
      <c r="F7" s="30">
        <v>1.2</v>
      </c>
      <c r="G7" s="30">
        <v>1.5</v>
      </c>
      <c r="H7" s="30">
        <v>1.6</v>
      </c>
      <c r="I7" s="30">
        <v>0.4</v>
      </c>
      <c r="J7" s="30">
        <v>1.29</v>
      </c>
      <c r="K7" s="30">
        <v>0</v>
      </c>
      <c r="L7" s="30">
        <v>0</v>
      </c>
      <c r="M7" s="30">
        <v>2.2</v>
      </c>
      <c r="N7" s="57">
        <v>0</v>
      </c>
      <c r="O7" s="30">
        <v>1.81</v>
      </c>
      <c r="P7" s="31">
        <v>2</v>
      </c>
      <c r="Q7" s="31">
        <v>2</v>
      </c>
      <c r="R7" s="32">
        <v>1.5</v>
      </c>
      <c r="S7" s="32">
        <v>0</v>
      </c>
      <c r="T7" s="11">
        <f>SUM(F7:R7)</f>
        <v>15.500000000000002</v>
      </c>
    </row>
    <row r="8" spans="1:20" ht="14.25">
      <c r="A8" s="38">
        <v>2017</v>
      </c>
      <c r="B8" s="146" t="s">
        <v>69</v>
      </c>
      <c r="C8" s="147"/>
      <c r="D8" s="148"/>
      <c r="E8" s="12">
        <v>16.5</v>
      </c>
      <c r="F8" s="30">
        <v>1.2</v>
      </c>
      <c r="G8" s="30">
        <v>1.5</v>
      </c>
      <c r="H8" s="30">
        <v>1.6</v>
      </c>
      <c r="I8" s="30">
        <v>0.4</v>
      </c>
      <c r="J8" s="30">
        <v>1.29</v>
      </c>
      <c r="K8" s="30">
        <v>0</v>
      </c>
      <c r="L8" s="30">
        <v>0</v>
      </c>
      <c r="M8" s="30">
        <v>2.2</v>
      </c>
      <c r="N8" s="39">
        <v>1</v>
      </c>
      <c r="O8" s="30">
        <v>1.81</v>
      </c>
      <c r="P8" s="31">
        <v>2</v>
      </c>
      <c r="Q8" s="31">
        <v>2</v>
      </c>
      <c r="R8" s="32">
        <v>1.5</v>
      </c>
      <c r="S8" s="32">
        <v>0</v>
      </c>
      <c r="T8" s="11">
        <f>SUM(F8:R8)</f>
        <v>16.5</v>
      </c>
    </row>
    <row r="9" spans="1:20" ht="14.25">
      <c r="A9" s="38">
        <v>2017</v>
      </c>
      <c r="B9" s="146" t="s">
        <v>70</v>
      </c>
      <c r="C9" s="147"/>
      <c r="D9" s="148"/>
      <c r="E9" s="12">
        <v>16.7</v>
      </c>
      <c r="F9" s="30">
        <v>1.2</v>
      </c>
      <c r="G9" s="30">
        <v>1.5</v>
      </c>
      <c r="H9" s="30">
        <v>1.6</v>
      </c>
      <c r="I9" s="30">
        <v>0.4</v>
      </c>
      <c r="J9" s="30">
        <v>1.29</v>
      </c>
      <c r="K9" s="30">
        <v>0</v>
      </c>
      <c r="L9" s="30">
        <v>0</v>
      </c>
      <c r="M9" s="30">
        <v>2.2</v>
      </c>
      <c r="N9" s="39">
        <v>1.2</v>
      </c>
      <c r="O9" s="30">
        <v>1.81</v>
      </c>
      <c r="P9" s="31">
        <v>2</v>
      </c>
      <c r="Q9" s="31">
        <v>2</v>
      </c>
      <c r="R9" s="32">
        <v>1.5</v>
      </c>
      <c r="S9" s="32">
        <v>0</v>
      </c>
      <c r="T9" s="11">
        <f>SUM(F9:S9)</f>
        <v>16.700000000000003</v>
      </c>
    </row>
    <row r="10" spans="1:20" ht="24">
      <c r="A10" s="149" t="s">
        <v>32</v>
      </c>
      <c r="B10" s="150"/>
      <c r="C10" s="150"/>
      <c r="D10" s="151"/>
      <c r="E10" s="12">
        <v>2008.2</v>
      </c>
      <c r="F10" s="92" t="s">
        <v>33</v>
      </c>
      <c r="G10" s="93"/>
      <c r="H10" s="93"/>
      <c r="I10" s="93"/>
      <c r="J10" s="93"/>
      <c r="K10" s="93"/>
      <c r="L10" s="93"/>
      <c r="M10" s="93"/>
      <c r="N10" s="93"/>
      <c r="O10" s="94"/>
      <c r="P10" s="95" t="s">
        <v>34</v>
      </c>
      <c r="Q10" s="96"/>
      <c r="R10" s="11" t="s">
        <v>35</v>
      </c>
      <c r="S10" s="11"/>
      <c r="T10" s="11"/>
    </row>
    <row r="11" spans="1:21" ht="12.75">
      <c r="A11" s="97" t="s">
        <v>36</v>
      </c>
      <c r="B11" s="98"/>
      <c r="C11" s="98"/>
      <c r="D11" s="98"/>
      <c r="E11" s="99"/>
      <c r="F11" s="13">
        <f>E10*F7</f>
        <v>2409.84</v>
      </c>
      <c r="G11" s="13">
        <f>E10*G7</f>
        <v>3012.3</v>
      </c>
      <c r="H11" s="13">
        <f>E10*H8</f>
        <v>3213.1200000000003</v>
      </c>
      <c r="I11" s="13">
        <f>E10*I8</f>
        <v>803.2800000000001</v>
      </c>
      <c r="J11" s="13">
        <f>E10*J7</f>
        <v>2590.578</v>
      </c>
      <c r="K11" s="13">
        <f>SUM(K7*2002.5)</f>
        <v>0</v>
      </c>
      <c r="L11" s="13">
        <f>SUM(L7*2002.5)</f>
        <v>0</v>
      </c>
      <c r="M11" s="13">
        <f>E10*M7</f>
        <v>4418.040000000001</v>
      </c>
      <c r="N11" s="13">
        <f>E10*N9</f>
        <v>2409.84</v>
      </c>
      <c r="O11" s="13">
        <f>E10*O8</f>
        <v>3634.842</v>
      </c>
      <c r="P11" s="13">
        <f>E10*P7</f>
        <v>4016.4</v>
      </c>
      <c r="Q11" s="13">
        <f>E10*Q7</f>
        <v>4016.4</v>
      </c>
      <c r="R11" s="13">
        <f>E10*R7</f>
        <v>3012.3</v>
      </c>
      <c r="S11" s="13">
        <v>0</v>
      </c>
      <c r="T11" s="13">
        <f>SUM(F11:R11)</f>
        <v>33536.94000000001</v>
      </c>
      <c r="U11" s="1"/>
    </row>
    <row r="12" spans="1:20" ht="12.75">
      <c r="A12" s="144" t="s">
        <v>37</v>
      </c>
      <c r="B12" s="144"/>
      <c r="C12" s="144"/>
      <c r="D12" s="144"/>
      <c r="E12" s="145"/>
      <c r="F12" s="85" t="s">
        <v>38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3"/>
    </row>
    <row r="13" spans="1:20" ht="14.25" customHeight="1">
      <c r="A13" s="127" t="s">
        <v>39</v>
      </c>
      <c r="B13" s="127"/>
      <c r="C13" s="127"/>
      <c r="D13" s="128"/>
      <c r="E13" s="56">
        <v>-86846.88600000006</v>
      </c>
      <c r="F13" s="34"/>
      <c r="G13" s="35"/>
      <c r="H13" s="1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52"/>
      <c r="T13" s="36"/>
    </row>
    <row r="14" spans="1:20" ht="12.75">
      <c r="A14" s="40"/>
      <c r="B14" s="154" t="s">
        <v>66</v>
      </c>
      <c r="C14" s="154"/>
      <c r="D14" s="41" t="s">
        <v>37</v>
      </c>
      <c r="E14" s="42" t="s">
        <v>13</v>
      </c>
      <c r="F14" s="34"/>
      <c r="G14" s="35"/>
      <c r="H14" s="1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52"/>
      <c r="T14" s="36"/>
    </row>
    <row r="15" spans="1:21" ht="12.75">
      <c r="A15" s="15" t="s">
        <v>40</v>
      </c>
      <c r="B15" s="122">
        <f>22621.65+8036</f>
        <v>30657.65</v>
      </c>
      <c r="C15" s="155"/>
      <c r="D15" s="43">
        <f>13569.29+5914.45+5004+2057.2</f>
        <v>26544.940000000002</v>
      </c>
      <c r="E15" s="44"/>
      <c r="F15" s="16">
        <f>E10*F8</f>
        <v>2409.84</v>
      </c>
      <c r="G15" s="16">
        <f>E10*G8</f>
        <v>3012.3</v>
      </c>
      <c r="H15" s="17">
        <f>E10*H8</f>
        <v>3213.1200000000003</v>
      </c>
      <c r="I15" s="16">
        <v>1400</v>
      </c>
      <c r="J15" s="16">
        <f>E10*J8</f>
        <v>2590.578</v>
      </c>
      <c r="K15" s="16">
        <v>0</v>
      </c>
      <c r="L15" s="16">
        <v>0</v>
      </c>
      <c r="M15" s="16">
        <f>E10*M8</f>
        <v>4418.040000000001</v>
      </c>
      <c r="N15" s="16">
        <v>256.6</v>
      </c>
      <c r="O15" s="16">
        <v>0</v>
      </c>
      <c r="P15" s="45">
        <v>0</v>
      </c>
      <c r="Q15" s="45">
        <v>0</v>
      </c>
      <c r="R15" s="16">
        <f>E10*R8</f>
        <v>3012.3</v>
      </c>
      <c r="S15" s="16">
        <v>0</v>
      </c>
      <c r="T15" s="18">
        <f aca="true" t="shared" si="0" ref="T15:T26">SUM(F15:S15)</f>
        <v>20312.778</v>
      </c>
      <c r="U15" s="4"/>
    </row>
    <row r="16" spans="1:21" ht="12.75">
      <c r="A16" s="15" t="s">
        <v>41</v>
      </c>
      <c r="B16" s="122">
        <v>33148.5</v>
      </c>
      <c r="C16" s="123"/>
      <c r="D16" s="43">
        <f>13916.15+4434.4+4840.4+1710</f>
        <v>24900.949999999997</v>
      </c>
      <c r="E16" s="44"/>
      <c r="F16" s="16">
        <f aca="true" t="shared" si="1" ref="F16:F26">2008.2*1.2</f>
        <v>2409.84</v>
      </c>
      <c r="G16" s="16">
        <f aca="true" t="shared" si="2" ref="G16:G26">2008.2*1.5</f>
        <v>3012.3</v>
      </c>
      <c r="H16" s="17">
        <f aca="true" t="shared" si="3" ref="H16:H26">2008.2*1.6</f>
        <v>3213.1200000000003</v>
      </c>
      <c r="I16" s="16">
        <v>1400</v>
      </c>
      <c r="J16" s="16">
        <f aca="true" t="shared" si="4" ref="J16:J26">2008.2*1.29</f>
        <v>2590.578</v>
      </c>
      <c r="K16" s="16"/>
      <c r="L16" s="16"/>
      <c r="M16" s="16">
        <f aca="true" t="shared" si="5" ref="M16:M26">2008.2*2.2</f>
        <v>4418.040000000001</v>
      </c>
      <c r="N16" s="16">
        <f>E10*N8</f>
        <v>2008.2</v>
      </c>
      <c r="O16" s="16">
        <v>0</v>
      </c>
      <c r="P16" s="45">
        <v>0</v>
      </c>
      <c r="Q16" s="45">
        <v>0</v>
      </c>
      <c r="R16" s="16">
        <f aca="true" t="shared" si="6" ref="R16:R26">2008.2*1.5</f>
        <v>3012.3</v>
      </c>
      <c r="S16" s="16">
        <f>J30-N16</f>
        <v>453.20000000000005</v>
      </c>
      <c r="T16" s="18">
        <f t="shared" si="0"/>
        <v>22517.578</v>
      </c>
      <c r="U16" s="4"/>
    </row>
    <row r="17" spans="1:21" ht="12.75">
      <c r="A17" s="15" t="s">
        <v>12</v>
      </c>
      <c r="B17" s="122">
        <v>33148.5</v>
      </c>
      <c r="C17" s="123"/>
      <c r="D17" s="43">
        <f>20928.3+8382</f>
        <v>29310.3</v>
      </c>
      <c r="E17" s="44"/>
      <c r="F17" s="16">
        <f t="shared" si="1"/>
        <v>2409.84</v>
      </c>
      <c r="G17" s="16">
        <f t="shared" si="2"/>
        <v>3012.3</v>
      </c>
      <c r="H17" s="17">
        <f t="shared" si="3"/>
        <v>3213.1200000000003</v>
      </c>
      <c r="I17" s="16">
        <v>1400</v>
      </c>
      <c r="J17" s="16">
        <f t="shared" si="4"/>
        <v>2590.578</v>
      </c>
      <c r="K17" s="16"/>
      <c r="L17" s="16"/>
      <c r="M17" s="16">
        <f t="shared" si="5"/>
        <v>4418.040000000001</v>
      </c>
      <c r="N17" s="16">
        <v>2008.2</v>
      </c>
      <c r="O17" s="16">
        <v>0</v>
      </c>
      <c r="P17" s="45">
        <v>0</v>
      </c>
      <c r="Q17" s="45">
        <v>0</v>
      </c>
      <c r="R17" s="16">
        <f t="shared" si="6"/>
        <v>3012.3</v>
      </c>
      <c r="S17" s="16">
        <f>J31-N17</f>
        <v>224.43999999999983</v>
      </c>
      <c r="T17" s="18">
        <f t="shared" si="0"/>
        <v>22288.818</v>
      </c>
      <c r="U17" s="4"/>
    </row>
    <row r="18" spans="1:21" ht="12.75">
      <c r="A18" s="15" t="s">
        <v>42</v>
      </c>
      <c r="B18" s="122">
        <v>33148.5</v>
      </c>
      <c r="C18" s="123"/>
      <c r="D18" s="43">
        <f>20094.75+12428.55</f>
        <v>32523.3</v>
      </c>
      <c r="E18" s="44"/>
      <c r="F18" s="16">
        <f t="shared" si="1"/>
        <v>2409.84</v>
      </c>
      <c r="G18" s="16">
        <f t="shared" si="2"/>
        <v>3012.3</v>
      </c>
      <c r="H18" s="17">
        <f t="shared" si="3"/>
        <v>3213.1200000000003</v>
      </c>
      <c r="I18" s="16">
        <f>I17/2</f>
        <v>700</v>
      </c>
      <c r="J18" s="16">
        <f t="shared" si="4"/>
        <v>2590.578</v>
      </c>
      <c r="K18" s="16"/>
      <c r="L18" s="16"/>
      <c r="M18" s="16">
        <f t="shared" si="5"/>
        <v>4418.040000000001</v>
      </c>
      <c r="N18" s="16">
        <v>2008.2</v>
      </c>
      <c r="O18" s="16">
        <v>7938</v>
      </c>
      <c r="P18" s="45">
        <v>0</v>
      </c>
      <c r="Q18" s="45">
        <v>0</v>
      </c>
      <c r="R18" s="16">
        <f t="shared" si="6"/>
        <v>3012.3</v>
      </c>
      <c r="S18" s="16">
        <f>J32-N18</f>
        <v>1311.6000000000001</v>
      </c>
      <c r="T18" s="18">
        <f t="shared" si="0"/>
        <v>30613.978</v>
      </c>
      <c r="U18" s="4"/>
    </row>
    <row r="19" spans="1:21" ht="12.75">
      <c r="A19" s="15" t="s">
        <v>7</v>
      </c>
      <c r="B19" s="122">
        <v>33149.5</v>
      </c>
      <c r="C19" s="123"/>
      <c r="D19" s="43">
        <f>16380.8+8264.8</f>
        <v>24645.6</v>
      </c>
      <c r="E19" s="44"/>
      <c r="F19" s="16">
        <f t="shared" si="1"/>
        <v>2409.84</v>
      </c>
      <c r="G19" s="16">
        <f t="shared" si="2"/>
        <v>3012.3</v>
      </c>
      <c r="H19" s="17">
        <f t="shared" si="3"/>
        <v>3213.1200000000003</v>
      </c>
      <c r="I19" s="16">
        <v>0</v>
      </c>
      <c r="J19" s="16">
        <f t="shared" si="4"/>
        <v>2590.578</v>
      </c>
      <c r="K19" s="16"/>
      <c r="L19" s="16"/>
      <c r="M19" s="16">
        <f t="shared" si="5"/>
        <v>4418.040000000001</v>
      </c>
      <c r="N19" s="16">
        <v>2008.2</v>
      </c>
      <c r="O19" s="16">
        <v>156</v>
      </c>
      <c r="P19" s="45">
        <v>0</v>
      </c>
      <c r="Q19" s="45">
        <v>28250</v>
      </c>
      <c r="R19" s="16">
        <f t="shared" si="6"/>
        <v>3012.3</v>
      </c>
      <c r="S19" s="16">
        <f>J33-N19</f>
        <v>2103.3199999999997</v>
      </c>
      <c r="T19" s="18">
        <f t="shared" si="0"/>
        <v>51173.698000000004</v>
      </c>
      <c r="U19" s="4"/>
    </row>
    <row r="20" spans="1:21" ht="12.75">
      <c r="A20" s="15" t="s">
        <v>8</v>
      </c>
      <c r="B20" s="122">
        <v>34635.16</v>
      </c>
      <c r="C20" s="123"/>
      <c r="D20" s="43">
        <f>25287.16+8492.55</f>
        <v>33779.71</v>
      </c>
      <c r="E20" s="44"/>
      <c r="F20" s="16">
        <f t="shared" si="1"/>
        <v>2409.84</v>
      </c>
      <c r="G20" s="16">
        <f t="shared" si="2"/>
        <v>3012.3</v>
      </c>
      <c r="H20" s="17">
        <f t="shared" si="3"/>
        <v>3213.1200000000003</v>
      </c>
      <c r="I20" s="16">
        <v>0</v>
      </c>
      <c r="J20" s="16">
        <f t="shared" si="4"/>
        <v>2590.578</v>
      </c>
      <c r="K20" s="16"/>
      <c r="L20" s="16"/>
      <c r="M20" s="16">
        <f t="shared" si="5"/>
        <v>4418.040000000001</v>
      </c>
      <c r="N20" s="16">
        <f>1466.59+153.96</f>
        <v>1620.55</v>
      </c>
      <c r="O20" s="16">
        <v>7938</v>
      </c>
      <c r="P20" s="45">
        <v>0</v>
      </c>
      <c r="Q20" s="45">
        <v>0</v>
      </c>
      <c r="R20" s="16">
        <f t="shared" si="6"/>
        <v>3012.3</v>
      </c>
      <c r="S20" s="16">
        <v>0</v>
      </c>
      <c r="T20" s="18">
        <f t="shared" si="0"/>
        <v>28214.728</v>
      </c>
      <c r="U20" s="4"/>
    </row>
    <row r="21" spans="1:21" ht="12.75">
      <c r="A21" s="15" t="s">
        <v>9</v>
      </c>
      <c r="B21" s="122">
        <v>33973.74</v>
      </c>
      <c r="C21" s="123"/>
      <c r="D21" s="43">
        <f>24926.36+8855.83</f>
        <v>33782.19</v>
      </c>
      <c r="E21" s="44"/>
      <c r="F21" s="16">
        <f t="shared" si="1"/>
        <v>2409.84</v>
      </c>
      <c r="G21" s="16">
        <f t="shared" si="2"/>
        <v>3012.3</v>
      </c>
      <c r="H21" s="17">
        <f t="shared" si="3"/>
        <v>3213.1200000000003</v>
      </c>
      <c r="I21" s="16">
        <v>0</v>
      </c>
      <c r="J21" s="16">
        <f t="shared" si="4"/>
        <v>2590.578</v>
      </c>
      <c r="K21" s="16"/>
      <c r="L21" s="16"/>
      <c r="M21" s="16">
        <f t="shared" si="5"/>
        <v>4418.040000000001</v>
      </c>
      <c r="N21" s="16">
        <f>238.71+805.68</f>
        <v>1044.3899999999999</v>
      </c>
      <c r="O21" s="16">
        <v>0</v>
      </c>
      <c r="P21" s="45">
        <v>0</v>
      </c>
      <c r="Q21" s="45">
        <v>0</v>
      </c>
      <c r="R21" s="16">
        <f t="shared" si="6"/>
        <v>3012.3</v>
      </c>
      <c r="S21" s="16">
        <v>0</v>
      </c>
      <c r="T21" s="18">
        <f t="shared" si="0"/>
        <v>19700.568</v>
      </c>
      <c r="U21" s="4"/>
    </row>
    <row r="22" spans="1:21" ht="12.75">
      <c r="A22" s="15" t="s">
        <v>10</v>
      </c>
      <c r="B22" s="122">
        <v>34755.7</v>
      </c>
      <c r="C22" s="123"/>
      <c r="D22" s="43">
        <v>35204.990000000005</v>
      </c>
      <c r="E22" s="44"/>
      <c r="F22" s="16">
        <f t="shared" si="1"/>
        <v>2409.84</v>
      </c>
      <c r="G22" s="16">
        <f t="shared" si="2"/>
        <v>3012.3</v>
      </c>
      <c r="H22" s="17">
        <f t="shared" si="3"/>
        <v>3213.1200000000003</v>
      </c>
      <c r="I22" s="16">
        <v>0</v>
      </c>
      <c r="J22" s="16">
        <f t="shared" si="4"/>
        <v>2590.578</v>
      </c>
      <c r="K22" s="16"/>
      <c r="L22" s="16"/>
      <c r="M22" s="16">
        <f t="shared" si="5"/>
        <v>4418.040000000001</v>
      </c>
      <c r="N22" s="16">
        <f>2004.79+397.85</f>
        <v>2402.64</v>
      </c>
      <c r="O22" s="16">
        <v>0</v>
      </c>
      <c r="P22" s="45">
        <f>3125+1985+10876</f>
        <v>15986</v>
      </c>
      <c r="Q22" s="45">
        <v>0</v>
      </c>
      <c r="R22" s="16">
        <f t="shared" si="6"/>
        <v>3012.3</v>
      </c>
      <c r="S22" s="16">
        <v>0</v>
      </c>
      <c r="T22" s="18">
        <f t="shared" si="0"/>
        <v>37044.818</v>
      </c>
      <c r="U22" s="4"/>
    </row>
    <row r="23" spans="1:20" ht="12.75">
      <c r="A23" s="15" t="s">
        <v>43</v>
      </c>
      <c r="B23" s="122">
        <v>33550.3</v>
      </c>
      <c r="C23" s="123"/>
      <c r="D23" s="43">
        <v>29573.46</v>
      </c>
      <c r="E23" s="44"/>
      <c r="F23" s="16">
        <f t="shared" si="1"/>
        <v>2409.84</v>
      </c>
      <c r="G23" s="16">
        <f t="shared" si="2"/>
        <v>3012.3</v>
      </c>
      <c r="H23" s="17">
        <f t="shared" si="3"/>
        <v>3213.1200000000003</v>
      </c>
      <c r="I23" s="16">
        <v>0</v>
      </c>
      <c r="J23" s="16">
        <f t="shared" si="4"/>
        <v>2590.578</v>
      </c>
      <c r="K23" s="16"/>
      <c r="L23" s="16"/>
      <c r="M23" s="16">
        <f t="shared" si="5"/>
        <v>4418.040000000001</v>
      </c>
      <c r="N23" s="16">
        <v>0</v>
      </c>
      <c r="O23" s="16">
        <v>4811</v>
      </c>
      <c r="P23" s="45">
        <v>447</v>
      </c>
      <c r="Q23" s="45">
        <v>0</v>
      </c>
      <c r="R23" s="16">
        <f t="shared" si="6"/>
        <v>3012.3</v>
      </c>
      <c r="S23" s="16">
        <v>0</v>
      </c>
      <c r="T23" s="18">
        <f t="shared" si="0"/>
        <v>23914.178</v>
      </c>
    </row>
    <row r="24" spans="1:20" ht="12.75">
      <c r="A24" s="15" t="s">
        <v>44</v>
      </c>
      <c r="B24" s="122">
        <v>31139.5</v>
      </c>
      <c r="C24" s="123"/>
      <c r="D24" s="43">
        <v>25248.33</v>
      </c>
      <c r="E24" s="44"/>
      <c r="F24" s="16">
        <f t="shared" si="1"/>
        <v>2409.84</v>
      </c>
      <c r="G24" s="16">
        <f t="shared" si="2"/>
        <v>3012.3</v>
      </c>
      <c r="H24" s="17">
        <f t="shared" si="3"/>
        <v>3213.1200000000003</v>
      </c>
      <c r="I24" s="16">
        <v>1400</v>
      </c>
      <c r="J24" s="16">
        <f t="shared" si="4"/>
        <v>2590.578</v>
      </c>
      <c r="K24" s="16"/>
      <c r="L24" s="16"/>
      <c r="M24" s="16">
        <f t="shared" si="5"/>
        <v>4418.040000000001</v>
      </c>
      <c r="N24" s="16">
        <f>4213.09+79.57</f>
        <v>4292.66</v>
      </c>
      <c r="O24" s="16">
        <v>3000</v>
      </c>
      <c r="P24" s="45">
        <f>4845+6436+458</f>
        <v>11739</v>
      </c>
      <c r="Q24" s="45">
        <v>0</v>
      </c>
      <c r="R24" s="16">
        <f t="shared" si="6"/>
        <v>3012.3</v>
      </c>
      <c r="S24" s="16">
        <v>0</v>
      </c>
      <c r="T24" s="18">
        <f t="shared" si="0"/>
        <v>39087.838</v>
      </c>
    </row>
    <row r="25" spans="1:20" ht="12.75">
      <c r="A25" s="15" t="s">
        <v>45</v>
      </c>
      <c r="B25" s="122">
        <v>35438.76</v>
      </c>
      <c r="C25" s="123"/>
      <c r="D25" s="43">
        <v>23088.190000000002</v>
      </c>
      <c r="E25" s="44"/>
      <c r="F25" s="16">
        <f t="shared" si="1"/>
        <v>2409.84</v>
      </c>
      <c r="G25" s="16">
        <f t="shared" si="2"/>
        <v>3012.3</v>
      </c>
      <c r="H25" s="17">
        <f t="shared" si="3"/>
        <v>3213.1200000000003</v>
      </c>
      <c r="I25" s="16">
        <v>1400</v>
      </c>
      <c r="J25" s="16">
        <f t="shared" si="4"/>
        <v>2590.578</v>
      </c>
      <c r="K25" s="16"/>
      <c r="L25" s="16"/>
      <c r="M25" s="16">
        <f t="shared" si="5"/>
        <v>4418.040000000001</v>
      </c>
      <c r="N25" s="16">
        <f>2238.61+79.57</f>
        <v>2318.1800000000003</v>
      </c>
      <c r="O25" s="16">
        <v>0</v>
      </c>
      <c r="P25" s="45">
        <v>3291</v>
      </c>
      <c r="Q25" s="45">
        <v>0</v>
      </c>
      <c r="R25" s="16">
        <f t="shared" si="6"/>
        <v>3012.3</v>
      </c>
      <c r="S25" s="16">
        <v>0</v>
      </c>
      <c r="T25" s="18">
        <f t="shared" si="0"/>
        <v>25665.358</v>
      </c>
    </row>
    <row r="26" spans="1:20" ht="12.75">
      <c r="A26" s="15" t="s">
        <v>46</v>
      </c>
      <c r="B26" s="122">
        <v>33449.98</v>
      </c>
      <c r="C26" s="123"/>
      <c r="D26" s="43">
        <v>32194.899999999998</v>
      </c>
      <c r="E26" s="44"/>
      <c r="F26" s="16">
        <f t="shared" si="1"/>
        <v>2409.84</v>
      </c>
      <c r="G26" s="16">
        <f t="shared" si="2"/>
        <v>3012.3</v>
      </c>
      <c r="H26" s="17">
        <f t="shared" si="3"/>
        <v>3213.1200000000003</v>
      </c>
      <c r="I26" s="16">
        <v>1400</v>
      </c>
      <c r="J26" s="16">
        <f t="shared" si="4"/>
        <v>2590.578</v>
      </c>
      <c r="K26" s="16"/>
      <c r="L26" s="16"/>
      <c r="M26" s="16">
        <f t="shared" si="5"/>
        <v>4418.040000000001</v>
      </c>
      <c r="N26" s="16">
        <f>2299.23+159.14</f>
        <v>2458.37</v>
      </c>
      <c r="O26" s="16">
        <v>0</v>
      </c>
      <c r="P26" s="45">
        <v>4639</v>
      </c>
      <c r="Q26" s="45">
        <v>0</v>
      </c>
      <c r="R26" s="16">
        <f t="shared" si="6"/>
        <v>3012.3</v>
      </c>
      <c r="S26" s="16">
        <v>0</v>
      </c>
      <c r="T26" s="18">
        <f t="shared" si="0"/>
        <v>27153.548</v>
      </c>
    </row>
    <row r="27" spans="1:20" ht="24">
      <c r="A27" s="19" t="s">
        <v>47</v>
      </c>
      <c r="B27" s="122">
        <v>0</v>
      </c>
      <c r="C27" s="123"/>
      <c r="D27" s="43">
        <f>900+900+900+900</f>
        <v>3600</v>
      </c>
      <c r="E27" s="2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45"/>
      <c r="Q27" s="45"/>
      <c r="R27" s="16"/>
      <c r="S27" s="16"/>
      <c r="T27" s="18"/>
    </row>
    <row r="28" spans="1:20" ht="12.75">
      <c r="A28" s="46" t="s">
        <v>2</v>
      </c>
      <c r="B28" s="142">
        <f>SUM(B15:B27)</f>
        <v>400195.79</v>
      </c>
      <c r="C28" s="143"/>
      <c r="D28" s="33">
        <f>SUM(D15:D27)</f>
        <v>354396.86000000004</v>
      </c>
      <c r="E28" s="20"/>
      <c r="F28" s="20">
        <f>SUM(F15:F27)</f>
        <v>28918.08</v>
      </c>
      <c r="G28" s="20">
        <f>SUM(G15:G27)</f>
        <v>36147.6</v>
      </c>
      <c r="H28" s="20">
        <f>SUM(H15:H27)</f>
        <v>38557.44</v>
      </c>
      <c r="I28" s="20">
        <f>SUM(I15:I27)</f>
        <v>9100</v>
      </c>
      <c r="J28" s="20">
        <f>SUM(J15:J27)</f>
        <v>31086.936000000005</v>
      </c>
      <c r="K28" s="20"/>
      <c r="L28" s="20"/>
      <c r="M28" s="20">
        <f aca="true" t="shared" si="7" ref="M28:T28">SUM(M15:M27)</f>
        <v>53016.48000000001</v>
      </c>
      <c r="N28" s="20">
        <f t="shared" si="7"/>
        <v>22426.19</v>
      </c>
      <c r="O28" s="20">
        <f t="shared" si="7"/>
        <v>23843</v>
      </c>
      <c r="P28" s="33">
        <f t="shared" si="7"/>
        <v>36102</v>
      </c>
      <c r="Q28" s="33">
        <f t="shared" si="7"/>
        <v>28250</v>
      </c>
      <c r="R28" s="20">
        <f t="shared" si="7"/>
        <v>36147.6</v>
      </c>
      <c r="S28" s="20">
        <f t="shared" si="7"/>
        <v>4092.5599999999995</v>
      </c>
      <c r="T28" s="21">
        <f t="shared" si="7"/>
        <v>347687.886</v>
      </c>
    </row>
    <row r="29" spans="1:20" ht="12.7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9" t="s">
        <v>64</v>
      </c>
      <c r="R29" s="106">
        <f>E13+D28-T28</f>
        <v>-80137.91200000001</v>
      </c>
      <c r="S29" s="106"/>
      <c r="T29" s="106"/>
    </row>
    <row r="30" spans="1:20" ht="12.75">
      <c r="A30" s="26"/>
      <c r="B30" s="27" t="s">
        <v>5</v>
      </c>
      <c r="C30" s="121">
        <v>7938</v>
      </c>
      <c r="D30" s="121"/>
      <c r="E30" s="27" t="s">
        <v>65</v>
      </c>
      <c r="F30" s="27"/>
      <c r="G30" s="27"/>
      <c r="H30" s="27"/>
      <c r="I30" s="162" t="s">
        <v>6</v>
      </c>
      <c r="J30" s="162">
        <f>2204.8+256.6</f>
        <v>2461.4</v>
      </c>
      <c r="K30" s="162"/>
      <c r="L30" s="162"/>
      <c r="M30" s="162" t="s">
        <v>74</v>
      </c>
      <c r="N30" s="162" t="s">
        <v>75</v>
      </c>
      <c r="O30" s="162"/>
      <c r="P30" s="27"/>
      <c r="Q30" s="27"/>
      <c r="R30" s="27"/>
      <c r="S30" s="27"/>
      <c r="T30" s="28"/>
    </row>
    <row r="31" spans="1:20" ht="12.75">
      <c r="A31" s="26"/>
      <c r="B31" s="27" t="s">
        <v>7</v>
      </c>
      <c r="C31" s="156">
        <v>156</v>
      </c>
      <c r="D31" s="156"/>
      <c r="E31" s="27" t="s">
        <v>82</v>
      </c>
      <c r="F31" s="27"/>
      <c r="G31" s="27"/>
      <c r="H31" s="27"/>
      <c r="I31" s="162" t="s">
        <v>12</v>
      </c>
      <c r="J31" s="162">
        <f>1822.08+410.56</f>
        <v>2232.64</v>
      </c>
      <c r="K31" s="162"/>
      <c r="L31" s="162"/>
      <c r="M31" s="162" t="s">
        <v>76</v>
      </c>
      <c r="N31" s="162" t="s">
        <v>77</v>
      </c>
      <c r="O31" s="162"/>
      <c r="P31" s="27"/>
      <c r="Q31" s="27"/>
      <c r="R31" s="27"/>
      <c r="S31" s="27"/>
      <c r="T31" s="28"/>
    </row>
    <row r="32" spans="1:20" ht="12.75">
      <c r="A32" s="26"/>
      <c r="B32" s="27" t="s">
        <v>8</v>
      </c>
      <c r="C32" s="121">
        <v>7938</v>
      </c>
      <c r="D32" s="121"/>
      <c r="E32" s="27" t="s">
        <v>65</v>
      </c>
      <c r="F32" s="27"/>
      <c r="G32" s="27"/>
      <c r="H32" s="27"/>
      <c r="I32" s="162" t="s">
        <v>5</v>
      </c>
      <c r="J32" s="162">
        <f>2857.92+461.88</f>
        <v>3319.8</v>
      </c>
      <c r="K32" s="162"/>
      <c r="L32" s="162"/>
      <c r="M32" s="162" t="s">
        <v>78</v>
      </c>
      <c r="N32" s="162" t="s">
        <v>79</v>
      </c>
      <c r="O32" s="162"/>
      <c r="P32" s="27"/>
      <c r="Q32" s="27"/>
      <c r="R32" s="27"/>
      <c r="S32" s="27"/>
      <c r="T32" s="28"/>
    </row>
    <row r="33" spans="1:20" ht="12.75">
      <c r="A33" s="26"/>
      <c r="B33" s="27" t="s">
        <v>11</v>
      </c>
      <c r="C33" s="121">
        <v>4811</v>
      </c>
      <c r="D33" s="121"/>
      <c r="E33" s="27" t="s">
        <v>84</v>
      </c>
      <c r="F33" s="27"/>
      <c r="G33" s="27"/>
      <c r="H33" s="27"/>
      <c r="I33" s="162" t="s">
        <v>7</v>
      </c>
      <c r="J33" s="162">
        <f>3906.24+205.28</f>
        <v>4111.5199999999995</v>
      </c>
      <c r="K33" s="162"/>
      <c r="L33" s="162"/>
      <c r="M33" s="162" t="s">
        <v>80</v>
      </c>
      <c r="N33" s="162" t="s">
        <v>81</v>
      </c>
      <c r="O33" s="162"/>
      <c r="P33" s="27"/>
      <c r="Q33" s="27"/>
      <c r="R33" s="27"/>
      <c r="S33" s="27"/>
      <c r="T33" s="28"/>
    </row>
    <row r="34" spans="1:20" ht="12.75">
      <c r="A34" s="26"/>
      <c r="B34" s="27" t="s">
        <v>0</v>
      </c>
      <c r="C34" s="121">
        <v>3000</v>
      </c>
      <c r="D34" s="121"/>
      <c r="E34" s="27" t="s">
        <v>85</v>
      </c>
      <c r="F34" s="27"/>
      <c r="G34" s="27"/>
      <c r="H34" s="27"/>
      <c r="I34" s="162"/>
      <c r="J34" s="163"/>
      <c r="K34" s="162"/>
      <c r="L34" s="162"/>
      <c r="M34" s="162"/>
      <c r="N34" s="162"/>
      <c r="O34" s="162"/>
      <c r="P34" s="27"/>
      <c r="Q34" s="27"/>
      <c r="R34" s="27"/>
      <c r="S34" s="27"/>
      <c r="T34" s="28"/>
    </row>
    <row r="35" spans="3:20" ht="12.75">
      <c r="C35" s="47"/>
      <c r="R35" s="58"/>
      <c r="S35" s="58"/>
      <c r="T35" s="58"/>
    </row>
    <row r="36" spans="1:20" ht="15">
      <c r="A36" s="131" t="s">
        <v>48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:20" ht="12.75">
      <c r="A37" s="132" t="s">
        <v>49</v>
      </c>
      <c r="B37" s="133"/>
      <c r="C37" s="136" t="s">
        <v>3</v>
      </c>
      <c r="D37" s="137"/>
      <c r="E37" s="137"/>
      <c r="F37" s="137"/>
      <c r="G37" s="137"/>
      <c r="H37" s="137"/>
      <c r="I37" s="137"/>
      <c r="J37" s="137"/>
      <c r="K37" s="138"/>
      <c r="L37" s="86" t="s">
        <v>50</v>
      </c>
      <c r="M37" s="87"/>
      <c r="N37" s="88"/>
      <c r="O37" s="80" t="s">
        <v>51</v>
      </c>
      <c r="P37" s="80"/>
      <c r="Q37" s="132" t="s">
        <v>52</v>
      </c>
      <c r="R37" s="133"/>
      <c r="S37" s="54"/>
      <c r="T37" s="80" t="s">
        <v>53</v>
      </c>
    </row>
    <row r="38" spans="1:20" ht="12.75">
      <c r="A38" s="134"/>
      <c r="B38" s="135"/>
      <c r="C38" s="139"/>
      <c r="D38" s="140"/>
      <c r="E38" s="140"/>
      <c r="F38" s="140"/>
      <c r="G38" s="140"/>
      <c r="H38" s="140"/>
      <c r="I38" s="140"/>
      <c r="J38" s="140"/>
      <c r="K38" s="141"/>
      <c r="L38" s="89"/>
      <c r="M38" s="90"/>
      <c r="N38" s="91"/>
      <c r="O38" s="81"/>
      <c r="P38" s="81"/>
      <c r="Q38" s="134"/>
      <c r="R38" s="135"/>
      <c r="S38" s="55"/>
      <c r="T38" s="81"/>
    </row>
    <row r="39" spans="1:20" ht="12.75">
      <c r="A39" s="75"/>
      <c r="B39" s="76"/>
      <c r="C39" s="77" t="s">
        <v>54</v>
      </c>
      <c r="D39" s="78"/>
      <c r="E39" s="78"/>
      <c r="F39" s="78"/>
      <c r="G39" s="78"/>
      <c r="H39" s="78"/>
      <c r="I39" s="78"/>
      <c r="J39" s="78"/>
      <c r="K39" s="79"/>
      <c r="L39" s="82"/>
      <c r="M39" s="83"/>
      <c r="N39" s="84"/>
      <c r="O39" s="5"/>
      <c r="P39" s="5"/>
      <c r="Q39" s="129"/>
      <c r="R39" s="130"/>
      <c r="S39" s="53"/>
      <c r="T39" s="5"/>
    </row>
    <row r="40" spans="1:20" ht="12.75">
      <c r="A40" s="75"/>
      <c r="B40" s="76"/>
      <c r="C40" s="77" t="s">
        <v>55</v>
      </c>
      <c r="D40" s="78"/>
      <c r="E40" s="78"/>
      <c r="F40" s="78"/>
      <c r="G40" s="78"/>
      <c r="H40" s="78"/>
      <c r="I40" s="78"/>
      <c r="J40" s="78"/>
      <c r="K40" s="79"/>
      <c r="L40" s="62" t="s">
        <v>71</v>
      </c>
      <c r="M40" s="63"/>
      <c r="N40" s="64"/>
      <c r="O40" s="22">
        <v>0.05</v>
      </c>
      <c r="P40" s="23"/>
      <c r="Q40" s="65">
        <f>SUM(O40*2002.5*12)</f>
        <v>1201.5</v>
      </c>
      <c r="R40" s="60"/>
      <c r="S40" s="51"/>
      <c r="T40" s="22"/>
    </row>
    <row r="41" spans="1:20" ht="12.75">
      <c r="A41" s="75"/>
      <c r="B41" s="76"/>
      <c r="C41" s="77" t="s">
        <v>56</v>
      </c>
      <c r="D41" s="78"/>
      <c r="E41" s="78"/>
      <c r="F41" s="78"/>
      <c r="G41" s="78"/>
      <c r="H41" s="78"/>
      <c r="I41" s="78"/>
      <c r="J41" s="78"/>
      <c r="K41" s="79"/>
      <c r="L41" s="62" t="s">
        <v>71</v>
      </c>
      <c r="M41" s="63"/>
      <c r="N41" s="64"/>
      <c r="O41" s="22">
        <v>0.05</v>
      </c>
      <c r="P41" s="23"/>
      <c r="Q41" s="65">
        <f aca="true" t="shared" si="8" ref="Q41:Q46">SUM(O41*2002.5*12)</f>
        <v>1201.5</v>
      </c>
      <c r="R41" s="60"/>
      <c r="S41" s="51"/>
      <c r="T41" s="22"/>
    </row>
    <row r="42" spans="1:20" ht="12.75">
      <c r="A42" s="75"/>
      <c r="B42" s="76"/>
      <c r="C42" s="77" t="s">
        <v>57</v>
      </c>
      <c r="D42" s="78"/>
      <c r="E42" s="78"/>
      <c r="F42" s="78"/>
      <c r="G42" s="78"/>
      <c r="H42" s="78"/>
      <c r="I42" s="78"/>
      <c r="J42" s="78"/>
      <c r="K42" s="79"/>
      <c r="L42" s="62" t="s">
        <v>58</v>
      </c>
      <c r="M42" s="63"/>
      <c r="N42" s="64"/>
      <c r="O42" s="22">
        <v>0.15</v>
      </c>
      <c r="P42" s="23"/>
      <c r="Q42" s="65">
        <f t="shared" si="8"/>
        <v>3604.5</v>
      </c>
      <c r="R42" s="60"/>
      <c r="S42" s="51"/>
      <c r="T42" s="22"/>
    </row>
    <row r="43" spans="1:20" ht="12.75">
      <c r="A43" s="65"/>
      <c r="B43" s="60"/>
      <c r="C43" s="72" t="s">
        <v>59</v>
      </c>
      <c r="D43" s="73"/>
      <c r="E43" s="73"/>
      <c r="F43" s="73"/>
      <c r="G43" s="73"/>
      <c r="H43" s="73"/>
      <c r="I43" s="73"/>
      <c r="J43" s="73"/>
      <c r="K43" s="74"/>
      <c r="L43" s="62" t="s">
        <v>71</v>
      </c>
      <c r="M43" s="63"/>
      <c r="N43" s="64"/>
      <c r="O43" s="2">
        <v>0.15</v>
      </c>
      <c r="P43" s="2"/>
      <c r="Q43" s="65">
        <f t="shared" si="8"/>
        <v>3604.5</v>
      </c>
      <c r="R43" s="60"/>
      <c r="S43" s="51"/>
      <c r="T43" s="2"/>
    </row>
    <row r="44" spans="1:20" ht="12.75">
      <c r="A44" s="65"/>
      <c r="B44" s="60"/>
      <c r="C44" s="66" t="s">
        <v>60</v>
      </c>
      <c r="D44" s="67"/>
      <c r="E44" s="67"/>
      <c r="F44" s="67"/>
      <c r="G44" s="67"/>
      <c r="H44" s="67"/>
      <c r="I44" s="67"/>
      <c r="J44" s="67"/>
      <c r="K44" s="68"/>
      <c r="L44" s="69" t="s">
        <v>61</v>
      </c>
      <c r="M44" s="70"/>
      <c r="N44" s="71"/>
      <c r="O44" s="2">
        <v>0.25</v>
      </c>
      <c r="P44" s="2"/>
      <c r="Q44" s="65">
        <f t="shared" si="8"/>
        <v>6007.5</v>
      </c>
      <c r="R44" s="60"/>
      <c r="S44" s="51"/>
      <c r="T44" s="2"/>
    </row>
    <row r="45" spans="1:20" ht="12.75">
      <c r="A45" s="65"/>
      <c r="B45" s="60"/>
      <c r="C45" s="66" t="s">
        <v>62</v>
      </c>
      <c r="D45" s="67"/>
      <c r="E45" s="67"/>
      <c r="F45" s="67"/>
      <c r="G45" s="67"/>
      <c r="H45" s="67"/>
      <c r="I45" s="67"/>
      <c r="J45" s="67"/>
      <c r="K45" s="68"/>
      <c r="L45" s="69" t="s">
        <v>61</v>
      </c>
      <c r="M45" s="70"/>
      <c r="N45" s="71"/>
      <c r="O45" s="2">
        <v>0.1</v>
      </c>
      <c r="P45" s="24"/>
      <c r="Q45" s="65">
        <f t="shared" si="8"/>
        <v>2403</v>
      </c>
      <c r="R45" s="60"/>
      <c r="S45" s="51"/>
      <c r="T45" s="2"/>
    </row>
    <row r="46" spans="1:20" ht="12.75">
      <c r="A46" s="65"/>
      <c r="B46" s="60"/>
      <c r="C46" s="72" t="s">
        <v>63</v>
      </c>
      <c r="D46" s="73"/>
      <c r="E46" s="73"/>
      <c r="F46" s="73"/>
      <c r="G46" s="73"/>
      <c r="H46" s="73"/>
      <c r="I46" s="73"/>
      <c r="J46" s="73"/>
      <c r="K46" s="74"/>
      <c r="L46" s="69" t="s">
        <v>61</v>
      </c>
      <c r="M46" s="70"/>
      <c r="N46" s="71"/>
      <c r="O46" s="2">
        <v>0.25</v>
      </c>
      <c r="P46" s="2"/>
      <c r="Q46" s="65">
        <f t="shared" si="8"/>
        <v>6007.5</v>
      </c>
      <c r="R46" s="60"/>
      <c r="S46" s="51"/>
      <c r="T46" s="2"/>
    </row>
    <row r="47" spans="5:20" ht="12.75">
      <c r="E47" s="48" t="s">
        <v>14</v>
      </c>
      <c r="F47" s="49"/>
      <c r="G47" s="49"/>
      <c r="H47" s="49"/>
      <c r="I47" s="49"/>
      <c r="J47" s="49"/>
      <c r="K47" s="49"/>
      <c r="L47" s="49"/>
      <c r="M47" s="49"/>
      <c r="N47" s="49"/>
      <c r="O47" s="3">
        <f>SUM(O40:O46)</f>
        <v>1</v>
      </c>
      <c r="P47" s="50"/>
      <c r="Q47" s="65">
        <f>SUM(Q40:Q46)</f>
        <v>24030</v>
      </c>
      <c r="R47" s="60"/>
      <c r="S47" s="51"/>
      <c r="T47" s="2"/>
    </row>
  </sheetData>
  <sheetProtection/>
  <mergeCells count="95">
    <mergeCell ref="C31:D31"/>
    <mergeCell ref="A1:T1"/>
    <mergeCell ref="A2:T2"/>
    <mergeCell ref="A3:E3"/>
    <mergeCell ref="F3:R3"/>
    <mergeCell ref="B4:E4"/>
    <mergeCell ref="F4:O4"/>
    <mergeCell ref="P4:Q5"/>
    <mergeCell ref="R4:R6"/>
    <mergeCell ref="T4:T6"/>
    <mergeCell ref="F5:F6"/>
    <mergeCell ref="G5:G6"/>
    <mergeCell ref="H5:H6"/>
    <mergeCell ref="I5:I6"/>
    <mergeCell ref="J5:J6"/>
    <mergeCell ref="K5:K6"/>
    <mergeCell ref="P10:Q10"/>
    <mergeCell ref="A11:E11"/>
    <mergeCell ref="L5:L6"/>
    <mergeCell ref="M5:M6"/>
    <mergeCell ref="B5:B6"/>
    <mergeCell ref="F12:T12"/>
    <mergeCell ref="N5:O5"/>
    <mergeCell ref="C5:C6"/>
    <mergeCell ref="D5:D6"/>
    <mergeCell ref="E5:E6"/>
    <mergeCell ref="A12:E12"/>
    <mergeCell ref="B16:C16"/>
    <mergeCell ref="B8:D8"/>
    <mergeCell ref="B9:D9"/>
    <mergeCell ref="A10:D10"/>
    <mergeCell ref="F10:O10"/>
    <mergeCell ref="B14:C14"/>
    <mergeCell ref="B15:C15"/>
    <mergeCell ref="B28:C28"/>
    <mergeCell ref="R29:T29"/>
    <mergeCell ref="B18:C18"/>
    <mergeCell ref="B19:C19"/>
    <mergeCell ref="B20:C20"/>
    <mergeCell ref="B21:C21"/>
    <mergeCell ref="B22:C22"/>
    <mergeCell ref="R35:T35"/>
    <mergeCell ref="A36:T36"/>
    <mergeCell ref="A37:B38"/>
    <mergeCell ref="C37:K38"/>
    <mergeCell ref="L37:N38"/>
    <mergeCell ref="O37:O38"/>
    <mergeCell ref="P37:P38"/>
    <mergeCell ref="Q37:R38"/>
    <mergeCell ref="T37:T38"/>
    <mergeCell ref="A39:B39"/>
    <mergeCell ref="C39:K39"/>
    <mergeCell ref="L39:N39"/>
    <mergeCell ref="Q39:R39"/>
    <mergeCell ref="A40:B40"/>
    <mergeCell ref="C40:K40"/>
    <mergeCell ref="L40:N40"/>
    <mergeCell ref="Q40:R40"/>
    <mergeCell ref="A41:B41"/>
    <mergeCell ref="C41:K41"/>
    <mergeCell ref="L41:N41"/>
    <mergeCell ref="Q41:R41"/>
    <mergeCell ref="A42:B42"/>
    <mergeCell ref="C42:K42"/>
    <mergeCell ref="L42:N42"/>
    <mergeCell ref="Q42:R42"/>
    <mergeCell ref="Q46:R46"/>
    <mergeCell ref="A43:B43"/>
    <mergeCell ref="C43:K43"/>
    <mergeCell ref="L43:N43"/>
    <mergeCell ref="Q43:R43"/>
    <mergeCell ref="A44:B44"/>
    <mergeCell ref="C44:K44"/>
    <mergeCell ref="L44:N44"/>
    <mergeCell ref="Q44:R44"/>
    <mergeCell ref="S4:S6"/>
    <mergeCell ref="Q47:R47"/>
    <mergeCell ref="A13:D13"/>
    <mergeCell ref="A45:B45"/>
    <mergeCell ref="C45:K45"/>
    <mergeCell ref="L45:N45"/>
    <mergeCell ref="Q45:R45"/>
    <mergeCell ref="A46:B46"/>
    <mergeCell ref="C46:K46"/>
    <mergeCell ref="L46:N46"/>
    <mergeCell ref="C33:D33"/>
    <mergeCell ref="C34:D34"/>
    <mergeCell ref="B23:C23"/>
    <mergeCell ref="C32:D32"/>
    <mergeCell ref="C30:D30"/>
    <mergeCell ref="B17:C17"/>
    <mergeCell ref="B24:C24"/>
    <mergeCell ref="B25:C25"/>
    <mergeCell ref="B26:C26"/>
    <mergeCell ref="B27:C27"/>
  </mergeCells>
  <printOptions/>
  <pageMargins left="0.14583333333333334" right="0.010416666666666666" top="0.1875" bottom="0.11458333333333333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2018-02-05T09:51:02Z</cp:lastPrinted>
  <dcterms:created xsi:type="dcterms:W3CDTF">2007-02-04T12:22:59Z</dcterms:created>
  <dcterms:modified xsi:type="dcterms:W3CDTF">2018-02-07T07:37:45Z</dcterms:modified>
  <cp:category/>
  <cp:version/>
  <cp:contentType/>
  <cp:contentStatus/>
</cp:coreProperties>
</file>