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25" windowHeight="4995" activeTab="0"/>
  </bookViews>
  <sheets>
    <sheet name="2017" sheetId="1" r:id="rId1"/>
  </sheets>
  <definedNames>
    <definedName name="_xlnm.Print_Area" localSheetId="0">'2017'!$B$29:$J$37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  <author>den</author>
  </authors>
  <commentList>
    <comment ref="O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1690р-доводчик
126р-ручка дверная</t>
        </r>
      </text>
    </comment>
    <comment ref="N1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1863,68-эл-во
</t>
        </r>
      </text>
    </comment>
    <comment ref="N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1131,52-эл-во</t>
        </r>
      </text>
    </comment>
    <comment ref="O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3250р-вывоз мусора
3500р-спил деревьев</t>
        </r>
      </text>
    </comment>
    <comment ref="N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1389,44-эл-во</t>
        </r>
      </text>
    </comment>
    <comment ref="N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1056,64-эл-во</t>
        </r>
      </text>
    </comment>
    <comment ref="O19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807р-покос</t>
        </r>
      </text>
    </comment>
    <comment ref="N20" authorId="1">
      <text>
        <r>
          <rPr>
            <b/>
            <sz val="9"/>
            <rFont val="Tahoma"/>
            <family val="2"/>
          </rPr>
          <t>den:</t>
        </r>
        <r>
          <rPr>
            <sz val="9"/>
            <rFont val="Tahoma"/>
            <family val="2"/>
          </rPr>
          <t xml:space="preserve">
1418-эл-во</t>
        </r>
      </text>
    </comment>
    <comment ref="N21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79,57-х/в
525,88-эл-во</t>
        </r>
      </text>
    </comment>
    <comment ref="N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1861,9-эл-во</t>
        </r>
      </text>
    </comment>
    <comment ref="O22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ремонт оголовков- 5547 (работа+вышка)</t>
        </r>
      </text>
    </comment>
    <comment ref="O23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5850р-погрузка и вывоз мусора</t>
        </r>
      </text>
    </comment>
    <comment ref="O24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2664р-прочистка вентканалов</t>
        </r>
      </text>
    </comment>
    <comment ref="O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1690р-доводчик эл.</t>
        </r>
      </text>
    </comment>
  </commentList>
</comments>
</file>

<file path=xl/sharedStrings.xml><?xml version="1.0" encoding="utf-8"?>
<sst xmlns="http://schemas.openxmlformats.org/spreadsheetml/2006/main" count="89" uniqueCount="80">
  <si>
    <t>Содержание</t>
  </si>
  <si>
    <t>ремонт</t>
  </si>
  <si>
    <t>итого</t>
  </si>
  <si>
    <t>Наименование работ</t>
  </si>
  <si>
    <t>ИТОГО</t>
  </si>
  <si>
    <t>май</t>
  </si>
  <si>
    <t>июль</t>
  </si>
  <si>
    <t>август</t>
  </si>
  <si>
    <t>сентябрь</t>
  </si>
  <si>
    <t>октябрь</t>
  </si>
  <si>
    <t>ноябрь</t>
  </si>
  <si>
    <t>март</t>
  </si>
  <si>
    <t>июнь</t>
  </si>
  <si>
    <t>январь</t>
  </si>
  <si>
    <t>долг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</si>
  <si>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</si>
  <si>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</si>
  <si>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</si>
  <si>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</si>
  <si>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</si>
  <si>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</si>
  <si>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</si>
  <si>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</si>
  <si>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</si>
  <si>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</si>
  <si>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</si>
  <si>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</si>
  <si>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</si>
  <si>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</si>
  <si>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</si>
  <si>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</si>
  <si>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</si>
  <si>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</si>
  <si>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</si>
  <si>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</si>
  <si>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</si>
  <si>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</si>
  <si>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</si>
  <si>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</si>
  <si>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</si>
  <si>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</si>
  <si>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</si>
  <si>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</si>
  <si>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</si>
  <si>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</si>
  <si>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</si>
  <si>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</si>
  <si>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</si>
  <si>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</si>
  <si>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</si>
  <si>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</si>
  <si>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</si>
  <si>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</si>
  <si>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</si>
  <si>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</si>
  <si>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</si>
  <si>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</si>
  <si>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</si>
  <si>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</si>
  <si>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</si>
  <si>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</si>
  <si>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</si>
  <si>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</si>
  <si>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ИТОГО:</t>
  </si>
  <si>
    <t>покос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</si>
  <si>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</si>
  <si>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</si>
  <si>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</si>
  <si>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</si>
  <si>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</si>
  <si>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по мере необходи-мости</t>
  </si>
  <si>
    <t>Информация о доходах и расходах по дому __Сеченова 3__на 2017год.</t>
  </si>
  <si>
    <t>(1690р-доводчик,126р-ручка дверная)</t>
  </si>
  <si>
    <t>вывоз мусора</t>
  </si>
  <si>
    <t>спил деревьев</t>
  </si>
  <si>
    <t>услуги сторонних организаций, разовые работы</t>
  </si>
  <si>
    <t>ремонт оголовков  (работа+вышка)</t>
  </si>
  <si>
    <t>погрузка и вывоз мусора</t>
  </si>
  <si>
    <t>прочистка вентканалов</t>
  </si>
  <si>
    <t>доводчик эл.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</si>
</sst>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_р_."/>
    <numFmt numFmtId="179" formatCode="#,##0_р_."/>
    <numFmt numFmtId="180" formatCode="#,##0.000_р_."/>
    <numFmt numFmtId="181" formatCode="0.0"/>
    <numFmt numFmtId="182" formatCode="#,##0&quot;р.&quot;"/>
    <numFmt numFmtId="183" formatCode="#,##0.00&quot;р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0" fillId="33" borderId="11" xfId="0" applyNumberFormat="1" applyFont="1" applyFill="1" applyBorder="1" applyAlignment="1">
      <alignment/>
    </xf>
    <xf numFmtId="0" fontId="12" fillId="33" borderId="10" xfId="0" applyNumberFormat="1" applyFont="1" applyFill="1" applyBorder="1" applyAlignment="1">
      <alignment wrapText="1"/>
    </xf>
    <xf numFmtId="2" fontId="10" fillId="0" borderId="13" xfId="0" applyNumberFormat="1" applyFont="1" applyBorder="1" applyAlignment="1">
      <alignment horizontal="center" vertical="top" wrapText="1"/>
    </xf>
    <xf numFmtId="4" fontId="8" fillId="33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8" fillId="34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/>
    </xf>
    <xf numFmtId="172" fontId="2" fillId="35" borderId="10" xfId="0" applyNumberFormat="1" applyFont="1" applyFill="1" applyBorder="1" applyAlignment="1">
      <alignment/>
    </xf>
    <xf numFmtId="4" fontId="10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8" fillId="0" borderId="0" xfId="0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172" fontId="13" fillId="35" borderId="10" xfId="0" applyNumberFormat="1" applyFont="1" applyFill="1" applyBorder="1" applyAlignment="1">
      <alignment/>
    </xf>
    <xf numFmtId="172" fontId="13" fillId="7" borderId="1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0" fillId="0" borderId="16" xfId="0" applyBorder="1" applyAlignment="1">
      <alignment horizontal="center"/>
    </xf>
    <xf numFmtId="2" fontId="0" fillId="13" borderId="15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2" fillId="33" borderId="13" xfId="0" applyNumberFormat="1" applyFont="1" applyFill="1" applyBorder="1" applyAlignment="1">
      <alignment horizontal="right" vertical="top" wrapText="1"/>
    </xf>
    <xf numFmtId="2" fontId="10" fillId="33" borderId="10" xfId="0" applyNumberFormat="1" applyFont="1" applyFill="1" applyBorder="1" applyAlignment="1">
      <alignment vertical="top" wrapText="1"/>
    </xf>
    <xf numFmtId="2" fontId="10" fillId="33" borderId="13" xfId="0" applyNumberFormat="1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0" fontId="2" fillId="36" borderId="16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2" borderId="16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168" fontId="13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172" fontId="11" fillId="0" borderId="20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left" wrapText="1"/>
    </xf>
    <xf numFmtId="2" fontId="10" fillId="0" borderId="18" xfId="0" applyNumberFormat="1" applyFont="1" applyBorder="1" applyAlignment="1">
      <alignment horizontal="left" wrapText="1"/>
    </xf>
    <xf numFmtId="2" fontId="10" fillId="0" borderId="22" xfId="0" applyNumberFormat="1" applyFont="1" applyBorder="1" applyAlignment="1">
      <alignment horizontal="left" wrapText="1"/>
    </xf>
    <xf numFmtId="2" fontId="10" fillId="0" borderId="19" xfId="0" applyNumberFormat="1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left" textRotation="90" wrapText="1"/>
    </xf>
    <xf numFmtId="2" fontId="10" fillId="0" borderId="23" xfId="0" applyNumberFormat="1" applyFont="1" applyBorder="1" applyAlignment="1">
      <alignment horizontal="left" textRotation="90" wrapText="1"/>
    </xf>
    <xf numFmtId="2" fontId="10" fillId="0" borderId="13" xfId="0" applyNumberFormat="1" applyFont="1" applyBorder="1" applyAlignment="1">
      <alignment horizontal="left" textRotation="90" wrapText="1"/>
    </xf>
    <xf numFmtId="2" fontId="11" fillId="0" borderId="12" xfId="0" applyNumberFormat="1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6" xfId="0" applyFont="1" applyFill="1" applyBorder="1" applyAlignment="1">
      <alignment horizontal="center" wrapText="1"/>
    </xf>
    <xf numFmtId="2" fontId="0" fillId="13" borderId="15" xfId="0" applyNumberFormat="1" applyFont="1" applyFill="1" applyBorder="1" applyAlignment="1">
      <alignment horizontal="center" vertical="top" wrapText="1"/>
    </xf>
    <xf numFmtId="0" fontId="50" fillId="0" borderId="21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6" xfId="0" applyFill="1" applyBorder="1" applyAlignment="1">
      <alignment horizontal="left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0" fillId="32" borderId="16" xfId="0" applyFill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50" fillId="0" borderId="1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33" borderId="17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2" fillId="32" borderId="15" xfId="0" applyNumberFormat="1" applyFont="1" applyFill="1" applyBorder="1" applyAlignment="1">
      <alignment horizontal="center"/>
    </xf>
    <xf numFmtId="172" fontId="2" fillId="32" borderId="16" xfId="0" applyNumberFormat="1" applyFont="1" applyFill="1" applyBorder="1" applyAlignment="1">
      <alignment horizontal="center"/>
    </xf>
    <xf numFmtId="172" fontId="2" fillId="35" borderId="15" xfId="0" applyNumberFormat="1" applyFont="1" applyFill="1" applyBorder="1" applyAlignment="1">
      <alignment horizontal="center"/>
    </xf>
    <xf numFmtId="172" fontId="2" fillId="35" borderId="16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23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2" fontId="8" fillId="0" borderId="15" xfId="0" applyNumberFormat="1" applyFont="1" applyBorder="1" applyAlignment="1">
      <alignment horizontal="center" vertical="top"/>
    </xf>
    <xf numFmtId="2" fontId="8" fillId="0" borderId="17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32" borderId="16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U49"/>
  <sheetViews>
    <sheetView tabSelected="1" workbookViewId="0" topLeftCell="A13">
      <selection activeCell="P33" sqref="P33"/>
    </sheetView>
  </sheetViews>
  <sheetFormatPr defaultColWidth="9.00390625" defaultRowHeight="12.75"/>
  <cols>
    <col min="2" max="2" width="5.625" style="0" customWidth="1"/>
    <col min="3" max="3" width="6.125" style="0" customWidth="1"/>
    <col min="10" max="10" width="9.125" style="0" customWidth="1"/>
    <col min="11" max="12" width="9.125" style="0" hidden="1" customWidth="1"/>
    <col min="17" max="17" width="8.00390625" style="0" customWidth="1"/>
    <col min="18" max="18" width="8.875" style="0" customWidth="1"/>
    <col min="19" max="19" width="9.125" style="0" hidden="1" customWidth="1"/>
  </cols>
  <sheetData>
    <row r="1" spans="1:20" ht="15.75">
      <c r="A1" s="65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12.7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</row>
    <row r="3" spans="1:20" ht="12.75">
      <c r="A3" s="66"/>
      <c r="B3" s="63"/>
      <c r="C3" s="63"/>
      <c r="D3" s="63"/>
      <c r="E3" s="150"/>
      <c r="F3" s="115" t="s">
        <v>16</v>
      </c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/>
      <c r="S3" s="32"/>
      <c r="T3" s="2"/>
    </row>
    <row r="4" spans="1:20" ht="12.75">
      <c r="A4" s="6"/>
      <c r="B4" s="151" t="s">
        <v>17</v>
      </c>
      <c r="C4" s="152"/>
      <c r="D4" s="152"/>
      <c r="E4" s="153"/>
      <c r="F4" s="67" t="s">
        <v>0</v>
      </c>
      <c r="G4" s="68"/>
      <c r="H4" s="68"/>
      <c r="I4" s="68"/>
      <c r="J4" s="68"/>
      <c r="K4" s="68"/>
      <c r="L4" s="68"/>
      <c r="M4" s="68"/>
      <c r="N4" s="68"/>
      <c r="O4" s="68"/>
      <c r="P4" s="69" t="s">
        <v>18</v>
      </c>
      <c r="Q4" s="70"/>
      <c r="R4" s="73" t="s">
        <v>19</v>
      </c>
      <c r="S4" s="138"/>
      <c r="T4" s="76" t="s">
        <v>4</v>
      </c>
    </row>
    <row r="5" spans="1:20" ht="12.75">
      <c r="A5" s="7"/>
      <c r="B5" s="59" t="s">
        <v>20</v>
      </c>
      <c r="C5" s="59" t="s">
        <v>1</v>
      </c>
      <c r="D5" s="59" t="s">
        <v>66</v>
      </c>
      <c r="E5" s="81" t="s">
        <v>2</v>
      </c>
      <c r="F5" s="79" t="s">
        <v>21</v>
      </c>
      <c r="G5" s="79" t="s">
        <v>22</v>
      </c>
      <c r="H5" s="79" t="s">
        <v>23</v>
      </c>
      <c r="I5" s="79" t="s">
        <v>24</v>
      </c>
      <c r="J5" s="79" t="s">
        <v>25</v>
      </c>
      <c r="K5" s="79" t="s">
        <v>26</v>
      </c>
      <c r="L5" s="79" t="s">
        <v>27</v>
      </c>
      <c r="M5" s="79" t="s">
        <v>28</v>
      </c>
      <c r="N5" s="83" t="s">
        <v>29</v>
      </c>
      <c r="O5" s="85"/>
      <c r="P5" s="71"/>
      <c r="Q5" s="72"/>
      <c r="R5" s="74"/>
      <c r="S5" s="139"/>
      <c r="T5" s="77"/>
    </row>
    <row r="6" spans="1:20" ht="84">
      <c r="A6" s="9"/>
      <c r="B6" s="60"/>
      <c r="C6" s="60"/>
      <c r="D6" s="60"/>
      <c r="E6" s="82"/>
      <c r="F6" s="80"/>
      <c r="G6" s="80"/>
      <c r="H6" s="80"/>
      <c r="I6" s="80"/>
      <c r="J6" s="80"/>
      <c r="K6" s="80"/>
      <c r="L6" s="80"/>
      <c r="M6" s="80"/>
      <c r="N6" s="36" t="s">
        <v>67</v>
      </c>
      <c r="O6" s="36" t="s">
        <v>75</v>
      </c>
      <c r="P6" s="8" t="s">
        <v>30</v>
      </c>
      <c r="Q6" s="8" t="s">
        <v>31</v>
      </c>
      <c r="R6" s="75"/>
      <c r="S6" s="140"/>
      <c r="T6" s="78"/>
    </row>
    <row r="7" spans="1:20" ht="14.25">
      <c r="A7" s="10">
        <v>2016</v>
      </c>
      <c r="B7" s="37">
        <v>9.5</v>
      </c>
      <c r="C7" s="37">
        <v>2</v>
      </c>
      <c r="D7" s="37">
        <v>1.5</v>
      </c>
      <c r="E7" s="12">
        <f>SUM(B7:D7)</f>
        <v>13</v>
      </c>
      <c r="F7" s="38">
        <v>0.99</v>
      </c>
      <c r="G7" s="38">
        <v>2.45</v>
      </c>
      <c r="H7" s="38">
        <v>1.6</v>
      </c>
      <c r="I7" s="38">
        <v>0.46</v>
      </c>
      <c r="J7" s="38">
        <v>1.4</v>
      </c>
      <c r="K7" s="38">
        <v>0</v>
      </c>
      <c r="L7" s="38">
        <v>0</v>
      </c>
      <c r="M7" s="38">
        <v>1.6</v>
      </c>
      <c r="N7" s="38">
        <v>0</v>
      </c>
      <c r="O7" s="38">
        <v>1</v>
      </c>
      <c r="P7" s="39">
        <v>1</v>
      </c>
      <c r="Q7" s="39">
        <v>1</v>
      </c>
      <c r="R7" s="40">
        <v>1.5</v>
      </c>
      <c r="S7" s="40">
        <v>0</v>
      </c>
      <c r="T7" s="11">
        <f>SUM(F7:S7)</f>
        <v>13</v>
      </c>
    </row>
    <row r="8" spans="1:20" ht="14.25">
      <c r="A8" s="10">
        <v>2017</v>
      </c>
      <c r="B8" s="146" t="s">
        <v>68</v>
      </c>
      <c r="C8" s="147"/>
      <c r="D8" s="148"/>
      <c r="E8" s="12">
        <v>14.3</v>
      </c>
      <c r="F8" s="38">
        <v>0.99</v>
      </c>
      <c r="G8" s="38">
        <v>2.45</v>
      </c>
      <c r="H8" s="38">
        <v>1.6</v>
      </c>
      <c r="I8" s="38">
        <v>0.46</v>
      </c>
      <c r="J8" s="38">
        <v>1.4</v>
      </c>
      <c r="K8" s="38">
        <v>0</v>
      </c>
      <c r="L8" s="38">
        <v>0</v>
      </c>
      <c r="M8" s="38">
        <v>1.6</v>
      </c>
      <c r="N8" s="38">
        <v>1.3</v>
      </c>
      <c r="O8" s="38">
        <v>1</v>
      </c>
      <c r="P8" s="39">
        <v>1</v>
      </c>
      <c r="Q8" s="39">
        <v>1</v>
      </c>
      <c r="R8" s="40">
        <v>1.5</v>
      </c>
      <c r="S8" s="40">
        <v>0</v>
      </c>
      <c r="T8" s="11">
        <f>SUM(F8:S8)</f>
        <v>14.3</v>
      </c>
    </row>
    <row r="9" spans="1:21" ht="14.25">
      <c r="A9" s="10">
        <v>2017</v>
      </c>
      <c r="B9" s="146" t="s">
        <v>69</v>
      </c>
      <c r="C9" s="147"/>
      <c r="D9" s="148"/>
      <c r="E9" s="12">
        <v>14.15</v>
      </c>
      <c r="F9" s="38">
        <v>0.99</v>
      </c>
      <c r="G9" s="38">
        <v>2.45</v>
      </c>
      <c r="H9" s="38">
        <v>1.6</v>
      </c>
      <c r="I9" s="38">
        <v>0.46</v>
      </c>
      <c r="J9" s="38">
        <v>1.4</v>
      </c>
      <c r="K9" s="38">
        <v>0</v>
      </c>
      <c r="L9" s="38">
        <v>0</v>
      </c>
      <c r="M9" s="38">
        <v>1.6</v>
      </c>
      <c r="N9" s="38">
        <v>1.15</v>
      </c>
      <c r="O9" s="38">
        <v>1</v>
      </c>
      <c r="P9" s="39">
        <v>1</v>
      </c>
      <c r="Q9" s="39">
        <v>1</v>
      </c>
      <c r="R9" s="40">
        <v>1.5</v>
      </c>
      <c r="S9" s="40"/>
      <c r="T9" s="11">
        <f>SUM(F9:S9)</f>
        <v>14.15</v>
      </c>
      <c r="U9" s="4"/>
    </row>
    <row r="10" spans="1:20" ht="24">
      <c r="A10" s="154" t="s">
        <v>32</v>
      </c>
      <c r="B10" s="155"/>
      <c r="C10" s="155"/>
      <c r="D10" s="156"/>
      <c r="E10" s="12">
        <v>1617.25</v>
      </c>
      <c r="F10" s="83" t="s">
        <v>33</v>
      </c>
      <c r="G10" s="84"/>
      <c r="H10" s="84"/>
      <c r="I10" s="84"/>
      <c r="J10" s="84"/>
      <c r="K10" s="84"/>
      <c r="L10" s="84"/>
      <c r="M10" s="84"/>
      <c r="N10" s="84"/>
      <c r="O10" s="85"/>
      <c r="P10" s="86" t="s">
        <v>34</v>
      </c>
      <c r="Q10" s="87"/>
      <c r="R10" s="11" t="s">
        <v>35</v>
      </c>
      <c r="S10" s="11"/>
      <c r="T10" s="11"/>
    </row>
    <row r="11" spans="1:21" ht="12.75">
      <c r="A11" s="88" t="s">
        <v>36</v>
      </c>
      <c r="B11" s="89"/>
      <c r="C11" s="89"/>
      <c r="D11" s="89"/>
      <c r="E11" s="90"/>
      <c r="F11" s="13">
        <f>E10*F7</f>
        <v>1601.0774999999999</v>
      </c>
      <c r="G11" s="13">
        <f>E10*G7</f>
        <v>3962.2625000000003</v>
      </c>
      <c r="H11" s="13">
        <f>E10*H8</f>
        <v>2587.6000000000004</v>
      </c>
      <c r="I11" s="13">
        <f>E10*I7</f>
        <v>743.9350000000001</v>
      </c>
      <c r="J11" s="13">
        <f>E10*J7</f>
        <v>2264.1499999999996</v>
      </c>
      <c r="K11" s="13">
        <f>SUM(K7*2002.5)</f>
        <v>0</v>
      </c>
      <c r="L11" s="13">
        <f>SUM(L7*2002.5)</f>
        <v>0</v>
      </c>
      <c r="M11" s="13">
        <f>E10*M7</f>
        <v>2587.6000000000004</v>
      </c>
      <c r="N11" s="13">
        <f>N9*E10</f>
        <v>1859.8374999999999</v>
      </c>
      <c r="O11" s="13">
        <f>E10*O7</f>
        <v>1617.25</v>
      </c>
      <c r="P11" s="13">
        <f>E10*P7</f>
        <v>1617.25</v>
      </c>
      <c r="Q11" s="13">
        <f>E10*Q7</f>
        <v>1617.25</v>
      </c>
      <c r="R11" s="13">
        <f>E10*R7</f>
        <v>2425.875</v>
      </c>
      <c r="S11" s="13">
        <v>0</v>
      </c>
      <c r="T11" s="13">
        <f>SUM(F11:R11)</f>
        <v>22884.0875</v>
      </c>
      <c r="U11" s="1"/>
    </row>
    <row r="12" spans="1:20" ht="12.75">
      <c r="A12" s="144" t="s">
        <v>37</v>
      </c>
      <c r="B12" s="144"/>
      <c r="C12" s="144"/>
      <c r="D12" s="144"/>
      <c r="E12" s="145"/>
      <c r="F12" s="91" t="s">
        <v>38</v>
      </c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2"/>
    </row>
    <row r="13" spans="1:20" ht="17.25" customHeight="1">
      <c r="A13" s="119" t="s">
        <v>39</v>
      </c>
      <c r="B13" s="119"/>
      <c r="C13" s="119"/>
      <c r="D13" s="120"/>
      <c r="E13" s="14">
        <v>-7954.399599999946</v>
      </c>
      <c r="F13" s="33"/>
      <c r="G13" s="34"/>
      <c r="H13" s="15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1:20" ht="12.75">
      <c r="A14" s="41"/>
      <c r="B14" s="143" t="s">
        <v>65</v>
      </c>
      <c r="C14" s="143"/>
      <c r="D14" s="42" t="s">
        <v>37</v>
      </c>
      <c r="E14" s="43" t="s">
        <v>14</v>
      </c>
      <c r="F14" s="33"/>
      <c r="G14" s="34"/>
      <c r="H14" s="15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1:20" ht="12.75">
      <c r="A15" s="16" t="s">
        <v>40</v>
      </c>
      <c r="B15" s="134">
        <f>17079.15+3105.3</f>
        <v>20184.45</v>
      </c>
      <c r="C15" s="157"/>
      <c r="D15" s="44">
        <f>10668.73+6728.15+2116.2+1223.3</f>
        <v>20736.379999999997</v>
      </c>
      <c r="E15" s="45"/>
      <c r="F15" s="17">
        <f>E10*F8</f>
        <v>1601.0774999999999</v>
      </c>
      <c r="G15" s="17">
        <f>E10*G8</f>
        <v>3962.2625000000003</v>
      </c>
      <c r="H15" s="18">
        <f>E10*H8</f>
        <v>2587.6000000000004</v>
      </c>
      <c r="I15" s="17">
        <v>1400</v>
      </c>
      <c r="J15" s="17">
        <f>E10*J8</f>
        <v>2264.1499999999996</v>
      </c>
      <c r="K15" s="17">
        <v>0</v>
      </c>
      <c r="L15" s="17">
        <v>0</v>
      </c>
      <c r="M15" s="17">
        <f>E10*M8</f>
        <v>2587.6000000000004</v>
      </c>
      <c r="N15" s="17">
        <v>0</v>
      </c>
      <c r="O15" s="17">
        <v>1816</v>
      </c>
      <c r="P15" s="30">
        <v>0</v>
      </c>
      <c r="Q15" s="30">
        <v>0</v>
      </c>
      <c r="R15" s="17">
        <f>E10*R8</f>
        <v>2425.875</v>
      </c>
      <c r="S15" s="17">
        <v>0</v>
      </c>
      <c r="T15" s="19">
        <f aca="true" t="shared" si="0" ref="T15:T26">SUM(F15:S15)</f>
        <v>18644.565000000002</v>
      </c>
    </row>
    <row r="16" spans="1:20" ht="12.75">
      <c r="A16" s="16" t="s">
        <v>41</v>
      </c>
      <c r="B16" s="134">
        <v>22202.9</v>
      </c>
      <c r="C16" s="135"/>
      <c r="D16" s="44">
        <f>8624.22+7865.55+1396+1430.1</f>
        <v>19315.87</v>
      </c>
      <c r="E16" s="45"/>
      <c r="F16" s="17">
        <f aca="true" t="shared" si="1" ref="F16:F26">1617.25*0.99</f>
        <v>1601.0774999999999</v>
      </c>
      <c r="G16" s="17">
        <f aca="true" t="shared" si="2" ref="G16:G26">1617.25*2.45</f>
        <v>3962.2625000000003</v>
      </c>
      <c r="H16" s="18">
        <f aca="true" t="shared" si="3" ref="H16:H26">1617.25*1.6</f>
        <v>2587.6000000000004</v>
      </c>
      <c r="I16" s="17">
        <v>1400</v>
      </c>
      <c r="J16" s="17">
        <f aca="true" t="shared" si="4" ref="J16:J26">1617.25*1.4</f>
        <v>2264.1499999999996</v>
      </c>
      <c r="K16" s="17"/>
      <c r="L16" s="17"/>
      <c r="M16" s="17">
        <f aca="true" t="shared" si="5" ref="M16:M26">1617.25*1.6</f>
        <v>2587.6000000000004</v>
      </c>
      <c r="N16" s="17">
        <v>1863.68</v>
      </c>
      <c r="O16" s="17">
        <v>0</v>
      </c>
      <c r="P16" s="30">
        <v>0</v>
      </c>
      <c r="Q16" s="30">
        <v>0</v>
      </c>
      <c r="R16" s="17">
        <f aca="true" t="shared" si="6" ref="R16:R26">1617.25*1.5</f>
        <v>2425.875</v>
      </c>
      <c r="S16" s="17">
        <v>0</v>
      </c>
      <c r="T16" s="19">
        <f t="shared" si="0"/>
        <v>18692.245000000003</v>
      </c>
    </row>
    <row r="17" spans="1:20" ht="12.75">
      <c r="A17" s="16" t="s">
        <v>11</v>
      </c>
      <c r="B17" s="134">
        <v>22202.9</v>
      </c>
      <c r="C17" s="135"/>
      <c r="D17" s="44">
        <f>11941.41+10076.14</f>
        <v>22017.55</v>
      </c>
      <c r="E17" s="45"/>
      <c r="F17" s="17">
        <f t="shared" si="1"/>
        <v>1601.0774999999999</v>
      </c>
      <c r="G17" s="17">
        <f t="shared" si="2"/>
        <v>3962.2625000000003</v>
      </c>
      <c r="H17" s="18">
        <f t="shared" si="3"/>
        <v>2587.6000000000004</v>
      </c>
      <c r="I17" s="17">
        <v>1400</v>
      </c>
      <c r="J17" s="17">
        <f t="shared" si="4"/>
        <v>2264.1499999999996</v>
      </c>
      <c r="K17" s="17"/>
      <c r="L17" s="17"/>
      <c r="M17" s="17">
        <f t="shared" si="5"/>
        <v>2587.6000000000004</v>
      </c>
      <c r="N17" s="17">
        <v>1131.52</v>
      </c>
      <c r="O17" s="17">
        <f>3250+3500</f>
        <v>6750</v>
      </c>
      <c r="P17" s="30">
        <v>0</v>
      </c>
      <c r="Q17" s="30">
        <v>0</v>
      </c>
      <c r="R17" s="17">
        <f t="shared" si="6"/>
        <v>2425.875</v>
      </c>
      <c r="S17" s="17"/>
      <c r="T17" s="19">
        <f t="shared" si="0"/>
        <v>24710.085</v>
      </c>
    </row>
    <row r="18" spans="1:20" ht="12.75">
      <c r="A18" s="16" t="s">
        <v>42</v>
      </c>
      <c r="B18" s="134">
        <v>22202.9</v>
      </c>
      <c r="C18" s="135"/>
      <c r="D18" s="44">
        <f>11648.35+7648.28</f>
        <v>19296.63</v>
      </c>
      <c r="E18" s="45"/>
      <c r="F18" s="17">
        <f t="shared" si="1"/>
        <v>1601.0774999999999</v>
      </c>
      <c r="G18" s="17">
        <f t="shared" si="2"/>
        <v>3962.2625000000003</v>
      </c>
      <c r="H18" s="18">
        <f t="shared" si="3"/>
        <v>2587.6000000000004</v>
      </c>
      <c r="I18" s="17">
        <v>700</v>
      </c>
      <c r="J18" s="17">
        <f t="shared" si="4"/>
        <v>2264.1499999999996</v>
      </c>
      <c r="K18" s="17"/>
      <c r="L18" s="17"/>
      <c r="M18" s="17">
        <f t="shared" si="5"/>
        <v>2587.6000000000004</v>
      </c>
      <c r="N18" s="17">
        <f>1389.44</f>
        <v>1389.44</v>
      </c>
      <c r="O18" s="17">
        <v>0</v>
      </c>
      <c r="P18" s="30">
        <v>0</v>
      </c>
      <c r="Q18" s="30">
        <v>0</v>
      </c>
      <c r="R18" s="17">
        <f t="shared" si="6"/>
        <v>2425.875</v>
      </c>
      <c r="S18" s="17"/>
      <c r="T18" s="19">
        <f t="shared" si="0"/>
        <v>17518.005</v>
      </c>
    </row>
    <row r="19" spans="1:20" ht="12.75">
      <c r="A19" s="16" t="s">
        <v>5</v>
      </c>
      <c r="B19" s="134">
        <v>22202.9</v>
      </c>
      <c r="C19" s="135"/>
      <c r="D19" s="44">
        <f>13006.39+8123.12</f>
        <v>21129.51</v>
      </c>
      <c r="E19" s="45"/>
      <c r="F19" s="17">
        <f t="shared" si="1"/>
        <v>1601.0774999999999</v>
      </c>
      <c r="G19" s="17">
        <f t="shared" si="2"/>
        <v>3962.2625000000003</v>
      </c>
      <c r="H19" s="18">
        <f t="shared" si="3"/>
        <v>2587.6000000000004</v>
      </c>
      <c r="I19" s="17">
        <v>0</v>
      </c>
      <c r="J19" s="17">
        <f t="shared" si="4"/>
        <v>2264.1499999999996</v>
      </c>
      <c r="K19" s="17"/>
      <c r="L19" s="17"/>
      <c r="M19" s="17">
        <f t="shared" si="5"/>
        <v>2587.6000000000004</v>
      </c>
      <c r="N19" s="17">
        <f>1056.64</f>
        <v>1056.64</v>
      </c>
      <c r="O19" s="17">
        <v>807</v>
      </c>
      <c r="P19" s="30">
        <v>0</v>
      </c>
      <c r="Q19" s="30">
        <v>0</v>
      </c>
      <c r="R19" s="17">
        <f t="shared" si="6"/>
        <v>2425.875</v>
      </c>
      <c r="S19" s="17"/>
      <c r="T19" s="19">
        <f t="shared" si="0"/>
        <v>17292.205</v>
      </c>
    </row>
    <row r="20" spans="1:20" ht="12.75">
      <c r="A20" s="16" t="s">
        <v>12</v>
      </c>
      <c r="B20" s="134">
        <v>23289.75</v>
      </c>
      <c r="C20" s="135"/>
      <c r="D20" s="44">
        <f>14450.3+6641.14</f>
        <v>21091.44</v>
      </c>
      <c r="E20" s="45"/>
      <c r="F20" s="17">
        <f t="shared" si="1"/>
        <v>1601.0774999999999</v>
      </c>
      <c r="G20" s="17">
        <f t="shared" si="2"/>
        <v>3962.2625000000003</v>
      </c>
      <c r="H20" s="18">
        <f t="shared" si="3"/>
        <v>2587.6000000000004</v>
      </c>
      <c r="I20" s="17">
        <v>0</v>
      </c>
      <c r="J20" s="17">
        <f t="shared" si="4"/>
        <v>2264.1499999999996</v>
      </c>
      <c r="K20" s="17"/>
      <c r="L20" s="17"/>
      <c r="M20" s="17">
        <f t="shared" si="5"/>
        <v>2587.6000000000004</v>
      </c>
      <c r="N20" s="17">
        <f>1418</f>
        <v>1418</v>
      </c>
      <c r="O20" s="17">
        <v>0</v>
      </c>
      <c r="P20" s="30">
        <v>0</v>
      </c>
      <c r="Q20" s="30">
        <v>0</v>
      </c>
      <c r="R20" s="17">
        <f t="shared" si="6"/>
        <v>2425.875</v>
      </c>
      <c r="S20" s="17"/>
      <c r="T20" s="19">
        <f t="shared" si="0"/>
        <v>16846.565000000002</v>
      </c>
    </row>
    <row r="21" spans="1:20" ht="12.75">
      <c r="A21" s="16" t="s">
        <v>6</v>
      </c>
      <c r="B21" s="134">
        <v>23413.95</v>
      </c>
      <c r="C21" s="135"/>
      <c r="D21" s="44">
        <v>21460.71</v>
      </c>
      <c r="E21" s="45"/>
      <c r="F21" s="17">
        <f t="shared" si="1"/>
        <v>1601.0774999999999</v>
      </c>
      <c r="G21" s="17">
        <f t="shared" si="2"/>
        <v>3962.2625000000003</v>
      </c>
      <c r="H21" s="18">
        <f t="shared" si="3"/>
        <v>2587.6000000000004</v>
      </c>
      <c r="I21" s="17">
        <v>0</v>
      </c>
      <c r="J21" s="17">
        <f t="shared" si="4"/>
        <v>2264.1499999999996</v>
      </c>
      <c r="K21" s="17"/>
      <c r="L21" s="17"/>
      <c r="M21" s="17">
        <f t="shared" si="5"/>
        <v>2587.6000000000004</v>
      </c>
      <c r="N21" s="17">
        <f>79.57+525.88</f>
        <v>605.45</v>
      </c>
      <c r="O21" s="17">
        <v>0</v>
      </c>
      <c r="P21" s="30">
        <v>0</v>
      </c>
      <c r="Q21" s="30">
        <v>0</v>
      </c>
      <c r="R21" s="17">
        <f t="shared" si="6"/>
        <v>2425.875</v>
      </c>
      <c r="S21" s="17"/>
      <c r="T21" s="19">
        <f t="shared" si="0"/>
        <v>16034.015000000001</v>
      </c>
    </row>
    <row r="22" spans="1:20" ht="12.75">
      <c r="A22" s="16" t="s">
        <v>7</v>
      </c>
      <c r="B22" s="134">
        <v>23413.95</v>
      </c>
      <c r="C22" s="135"/>
      <c r="D22" s="44">
        <v>22462.98</v>
      </c>
      <c r="E22" s="45"/>
      <c r="F22" s="17">
        <f t="shared" si="1"/>
        <v>1601.0774999999999</v>
      </c>
      <c r="G22" s="17">
        <f t="shared" si="2"/>
        <v>3962.2625000000003</v>
      </c>
      <c r="H22" s="18">
        <f t="shared" si="3"/>
        <v>2587.6000000000004</v>
      </c>
      <c r="I22" s="17">
        <v>0</v>
      </c>
      <c r="J22" s="17">
        <f t="shared" si="4"/>
        <v>2264.1499999999996</v>
      </c>
      <c r="K22" s="17"/>
      <c r="L22" s="17"/>
      <c r="M22" s="17">
        <f t="shared" si="5"/>
        <v>2587.6000000000004</v>
      </c>
      <c r="N22" s="17">
        <f>1861.9</f>
        <v>1861.9</v>
      </c>
      <c r="O22" s="17">
        <v>5547</v>
      </c>
      <c r="P22" s="30">
        <v>7753</v>
      </c>
      <c r="Q22" s="30">
        <v>0</v>
      </c>
      <c r="R22" s="17">
        <f t="shared" si="6"/>
        <v>2425.875</v>
      </c>
      <c r="S22" s="17"/>
      <c r="T22" s="19">
        <f t="shared" si="0"/>
        <v>30590.465</v>
      </c>
    </row>
    <row r="23" spans="1:20" ht="12.75">
      <c r="A23" s="16" t="s">
        <v>43</v>
      </c>
      <c r="B23" s="134">
        <v>21970.06</v>
      </c>
      <c r="C23" s="135"/>
      <c r="D23" s="44">
        <v>25683.17</v>
      </c>
      <c r="E23" s="45"/>
      <c r="F23" s="17">
        <f t="shared" si="1"/>
        <v>1601.0774999999999</v>
      </c>
      <c r="G23" s="17">
        <f t="shared" si="2"/>
        <v>3962.2625000000003</v>
      </c>
      <c r="H23" s="18">
        <f t="shared" si="3"/>
        <v>2587.6000000000004</v>
      </c>
      <c r="I23" s="17">
        <v>0</v>
      </c>
      <c r="J23" s="17">
        <f t="shared" si="4"/>
        <v>2264.1499999999996</v>
      </c>
      <c r="K23" s="17"/>
      <c r="L23" s="17"/>
      <c r="M23" s="17">
        <f t="shared" si="5"/>
        <v>2587.6000000000004</v>
      </c>
      <c r="N23" s="17">
        <f>1961.49+2068.82</f>
        <v>4030.3100000000004</v>
      </c>
      <c r="O23" s="17">
        <v>5850</v>
      </c>
      <c r="P23" s="30">
        <v>0</v>
      </c>
      <c r="Q23" s="30">
        <v>0</v>
      </c>
      <c r="R23" s="17">
        <f t="shared" si="6"/>
        <v>2425.875</v>
      </c>
      <c r="S23" s="17"/>
      <c r="T23" s="19">
        <f t="shared" si="0"/>
        <v>25308.875</v>
      </c>
    </row>
    <row r="24" spans="1:20" ht="12.75">
      <c r="A24" s="16" t="s">
        <v>44</v>
      </c>
      <c r="B24" s="134">
        <v>24050.55</v>
      </c>
      <c r="C24" s="135"/>
      <c r="D24" s="44">
        <v>21891.5</v>
      </c>
      <c r="E24" s="45"/>
      <c r="F24" s="17">
        <f t="shared" si="1"/>
        <v>1601.0774999999999</v>
      </c>
      <c r="G24" s="17">
        <f t="shared" si="2"/>
        <v>3962.2625000000003</v>
      </c>
      <c r="H24" s="18">
        <f t="shared" si="3"/>
        <v>2587.6000000000004</v>
      </c>
      <c r="I24" s="17">
        <v>1400</v>
      </c>
      <c r="J24" s="17">
        <f t="shared" si="4"/>
        <v>2264.1499999999996</v>
      </c>
      <c r="K24" s="17"/>
      <c r="L24" s="17"/>
      <c r="M24" s="17">
        <f t="shared" si="5"/>
        <v>2587.6000000000004</v>
      </c>
      <c r="N24" s="17">
        <f>2463.77</f>
        <v>2463.77</v>
      </c>
      <c r="O24" s="17">
        <v>2664</v>
      </c>
      <c r="P24" s="30">
        <f>359+1198</f>
        <v>1557</v>
      </c>
      <c r="Q24" s="30">
        <v>0</v>
      </c>
      <c r="R24" s="17">
        <f t="shared" si="6"/>
        <v>2425.875</v>
      </c>
      <c r="S24" s="17"/>
      <c r="T24" s="19">
        <f t="shared" si="0"/>
        <v>23513.335</v>
      </c>
    </row>
    <row r="25" spans="1:20" ht="12.75">
      <c r="A25" s="16" t="s">
        <v>45</v>
      </c>
      <c r="B25" s="134">
        <v>22544.49</v>
      </c>
      <c r="C25" s="135"/>
      <c r="D25" s="44">
        <v>36346.63999999999</v>
      </c>
      <c r="E25" s="45"/>
      <c r="F25" s="17">
        <f t="shared" si="1"/>
        <v>1601.0774999999999</v>
      </c>
      <c r="G25" s="17">
        <f t="shared" si="2"/>
        <v>3962.2625000000003</v>
      </c>
      <c r="H25" s="18">
        <f t="shared" si="3"/>
        <v>2587.6000000000004</v>
      </c>
      <c r="I25" s="17">
        <v>1400</v>
      </c>
      <c r="J25" s="17">
        <f t="shared" si="4"/>
        <v>2264.1499999999996</v>
      </c>
      <c r="K25" s="17"/>
      <c r="L25" s="17"/>
      <c r="M25" s="17">
        <f t="shared" si="5"/>
        <v>2587.6000000000004</v>
      </c>
      <c r="N25" s="17">
        <f>1195.08</f>
        <v>1195.08</v>
      </c>
      <c r="O25" s="17">
        <v>1690</v>
      </c>
      <c r="P25" s="30">
        <v>0</v>
      </c>
      <c r="Q25" s="30">
        <v>0</v>
      </c>
      <c r="R25" s="17">
        <f t="shared" si="6"/>
        <v>2425.875</v>
      </c>
      <c r="S25" s="17"/>
      <c r="T25" s="19">
        <f t="shared" si="0"/>
        <v>19713.645</v>
      </c>
    </row>
    <row r="26" spans="1:20" ht="12.75">
      <c r="A26" s="16" t="s">
        <v>46</v>
      </c>
      <c r="B26" s="134">
        <v>21333.43</v>
      </c>
      <c r="C26" s="135"/>
      <c r="D26" s="44">
        <v>23393.010000000002</v>
      </c>
      <c r="E26" s="45"/>
      <c r="F26" s="17">
        <f t="shared" si="1"/>
        <v>1601.0774999999999</v>
      </c>
      <c r="G26" s="17">
        <f t="shared" si="2"/>
        <v>3962.2625000000003</v>
      </c>
      <c r="H26" s="18">
        <f t="shared" si="3"/>
        <v>2587.6000000000004</v>
      </c>
      <c r="I26" s="17">
        <v>1400</v>
      </c>
      <c r="J26" s="17">
        <f t="shared" si="4"/>
        <v>2264.1499999999996</v>
      </c>
      <c r="K26" s="17"/>
      <c r="L26" s="17"/>
      <c r="M26" s="17">
        <f t="shared" si="5"/>
        <v>2587.6000000000004</v>
      </c>
      <c r="N26" s="17">
        <f>1913.86</f>
        <v>1913.86</v>
      </c>
      <c r="O26" s="17">
        <v>0</v>
      </c>
      <c r="P26" s="30">
        <v>1881</v>
      </c>
      <c r="Q26" s="30">
        <v>0</v>
      </c>
      <c r="R26" s="17">
        <f t="shared" si="6"/>
        <v>2425.875</v>
      </c>
      <c r="S26" s="17"/>
      <c r="T26" s="19">
        <f t="shared" si="0"/>
        <v>20623.425000000003</v>
      </c>
    </row>
    <row r="27" spans="1:20" ht="12.75">
      <c r="A27" s="20" t="s">
        <v>2</v>
      </c>
      <c r="B27" s="136">
        <f>SUM(B15:B26)</f>
        <v>269012.23000000004</v>
      </c>
      <c r="C27" s="137"/>
      <c r="D27" s="29">
        <f>SUM(D15:D26)</f>
        <v>274825.38999999996</v>
      </c>
      <c r="E27" s="21"/>
      <c r="F27" s="21">
        <f>SUM(F15:F26)</f>
        <v>19212.929999999997</v>
      </c>
      <c r="G27" s="21">
        <f>SUM(G15:G26)</f>
        <v>47547.149999999994</v>
      </c>
      <c r="H27" s="21">
        <f>SUM(H15:H26)</f>
        <v>31051.199999999997</v>
      </c>
      <c r="I27" s="21">
        <f>SUM(I15:I26)</f>
        <v>9100</v>
      </c>
      <c r="J27" s="21">
        <f>SUM(J15:J26)</f>
        <v>27169.800000000003</v>
      </c>
      <c r="K27" s="21"/>
      <c r="L27" s="21"/>
      <c r="M27" s="21">
        <f aca="true" t="shared" si="7" ref="M27:R27">SUM(M15:M26)</f>
        <v>31051.199999999997</v>
      </c>
      <c r="N27" s="21">
        <f t="shared" si="7"/>
        <v>18929.65</v>
      </c>
      <c r="O27" s="21">
        <f t="shared" si="7"/>
        <v>25124</v>
      </c>
      <c r="P27" s="29">
        <f t="shared" si="7"/>
        <v>11191</v>
      </c>
      <c r="Q27" s="29">
        <f t="shared" si="7"/>
        <v>0</v>
      </c>
      <c r="R27" s="21">
        <f t="shared" si="7"/>
        <v>29110.5</v>
      </c>
      <c r="S27" s="21"/>
      <c r="T27" s="22">
        <f>SUM(T15:T26)</f>
        <v>249487.43</v>
      </c>
    </row>
    <row r="28" spans="1:20" ht="12.75">
      <c r="A28" s="2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8" t="s">
        <v>63</v>
      </c>
      <c r="R28" s="64">
        <f>SUM(E13+D27-T27)</f>
        <v>17383.560400000017</v>
      </c>
      <c r="S28" s="64"/>
      <c r="T28" s="64"/>
    </row>
    <row r="29" spans="1:20" ht="12.75">
      <c r="A29" s="26"/>
      <c r="B29" s="3" t="s">
        <v>13</v>
      </c>
      <c r="C29" s="55">
        <v>1816</v>
      </c>
      <c r="D29" s="3" t="s">
        <v>72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27"/>
    </row>
    <row r="30" spans="1:20" ht="12.75">
      <c r="A30" s="26"/>
      <c r="B30" s="3" t="s">
        <v>11</v>
      </c>
      <c r="C30" s="55">
        <v>3250</v>
      </c>
      <c r="D30" s="3" t="s">
        <v>73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27"/>
    </row>
    <row r="31" spans="1:20" ht="12.75">
      <c r="A31" s="26"/>
      <c r="B31" s="3"/>
      <c r="C31" s="55">
        <v>3500</v>
      </c>
      <c r="D31" s="3" t="s">
        <v>74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7"/>
    </row>
    <row r="32" spans="1:20" ht="12.75">
      <c r="A32" s="26"/>
      <c r="B32" s="3" t="s">
        <v>5</v>
      </c>
      <c r="C32" s="46">
        <v>807</v>
      </c>
      <c r="D32" s="3" t="s">
        <v>64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27"/>
    </row>
    <row r="33" spans="1:20" ht="12.75">
      <c r="A33" s="26"/>
      <c r="B33" s="3" t="s">
        <v>7</v>
      </c>
      <c r="C33" s="31">
        <v>5547</v>
      </c>
      <c r="D33" s="3" t="s">
        <v>76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27"/>
    </row>
    <row r="34" spans="1:20" ht="12.75">
      <c r="A34" s="26"/>
      <c r="B34" s="3" t="s">
        <v>8</v>
      </c>
      <c r="C34" s="31">
        <v>5850</v>
      </c>
      <c r="D34" s="3" t="s">
        <v>77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27"/>
    </row>
    <row r="35" spans="1:20" ht="12.75">
      <c r="A35" s="26"/>
      <c r="B35" s="3" t="s">
        <v>9</v>
      </c>
      <c r="C35" s="31">
        <v>2664</v>
      </c>
      <c r="D35" s="3" t="s">
        <v>78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27"/>
    </row>
    <row r="36" spans="1:20" ht="12.75">
      <c r="A36" s="26"/>
      <c r="B36" s="3" t="s">
        <v>10</v>
      </c>
      <c r="C36" s="31">
        <v>1690</v>
      </c>
      <c r="D36" s="3" t="s">
        <v>79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27"/>
    </row>
    <row r="37" spans="3:20" ht="12.75">
      <c r="C37" s="47"/>
      <c r="R37" s="56"/>
      <c r="S37" s="56"/>
      <c r="T37" s="56"/>
    </row>
    <row r="38" spans="1:20" ht="15">
      <c r="A38" s="123" t="s">
        <v>47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</row>
    <row r="39" spans="1:20" ht="12.75">
      <c r="A39" s="124" t="s">
        <v>48</v>
      </c>
      <c r="B39" s="125"/>
      <c r="C39" s="128" t="s">
        <v>3</v>
      </c>
      <c r="D39" s="129"/>
      <c r="E39" s="129"/>
      <c r="F39" s="129"/>
      <c r="G39" s="129"/>
      <c r="H39" s="129"/>
      <c r="I39" s="129"/>
      <c r="J39" s="129"/>
      <c r="K39" s="130"/>
      <c r="L39" s="92" t="s">
        <v>49</v>
      </c>
      <c r="M39" s="93"/>
      <c r="N39" s="94"/>
      <c r="O39" s="57" t="s">
        <v>50</v>
      </c>
      <c r="P39" s="57"/>
      <c r="Q39" s="124" t="s">
        <v>51</v>
      </c>
      <c r="R39" s="125"/>
      <c r="S39" s="48"/>
      <c r="T39" s="57" t="s">
        <v>52</v>
      </c>
    </row>
    <row r="40" spans="1:20" ht="12.75">
      <c r="A40" s="126"/>
      <c r="B40" s="127"/>
      <c r="C40" s="131"/>
      <c r="D40" s="132"/>
      <c r="E40" s="132"/>
      <c r="F40" s="132"/>
      <c r="G40" s="132"/>
      <c r="H40" s="132"/>
      <c r="I40" s="132"/>
      <c r="J40" s="132"/>
      <c r="K40" s="133"/>
      <c r="L40" s="95"/>
      <c r="M40" s="96"/>
      <c r="N40" s="97"/>
      <c r="O40" s="58"/>
      <c r="P40" s="58"/>
      <c r="Q40" s="126"/>
      <c r="R40" s="127"/>
      <c r="S40" s="49"/>
      <c r="T40" s="58"/>
    </row>
    <row r="41" spans="1:20" ht="12.75">
      <c r="A41" s="98"/>
      <c r="B41" s="99"/>
      <c r="C41" s="100" t="s">
        <v>53</v>
      </c>
      <c r="D41" s="101"/>
      <c r="E41" s="101"/>
      <c r="F41" s="101"/>
      <c r="G41" s="101"/>
      <c r="H41" s="101"/>
      <c r="I41" s="101"/>
      <c r="J41" s="101"/>
      <c r="K41" s="102"/>
      <c r="L41" s="103"/>
      <c r="M41" s="104"/>
      <c r="N41" s="105"/>
      <c r="O41" s="5"/>
      <c r="P41" s="5"/>
      <c r="Q41" s="121"/>
      <c r="R41" s="122"/>
      <c r="S41" s="50"/>
      <c r="T41" s="5"/>
    </row>
    <row r="42" spans="1:20" ht="12.75">
      <c r="A42" s="98"/>
      <c r="B42" s="99"/>
      <c r="C42" s="100" t="s">
        <v>54</v>
      </c>
      <c r="D42" s="101"/>
      <c r="E42" s="101"/>
      <c r="F42" s="101"/>
      <c r="G42" s="101"/>
      <c r="H42" s="101"/>
      <c r="I42" s="101"/>
      <c r="J42" s="101"/>
      <c r="K42" s="102"/>
      <c r="L42" s="106" t="s">
        <v>70</v>
      </c>
      <c r="M42" s="107"/>
      <c r="N42" s="108"/>
      <c r="O42" s="23">
        <v>0.05</v>
      </c>
      <c r="P42" s="24"/>
      <c r="Q42" s="115">
        <f>SUM(O42*2002.5*12)</f>
        <v>1201.5</v>
      </c>
      <c r="R42" s="62"/>
      <c r="S42" s="32"/>
      <c r="T42" s="23"/>
    </row>
    <row r="43" spans="1:20" ht="12.75">
      <c r="A43" s="98"/>
      <c r="B43" s="99"/>
      <c r="C43" s="100" t="s">
        <v>55</v>
      </c>
      <c r="D43" s="101"/>
      <c r="E43" s="101"/>
      <c r="F43" s="101"/>
      <c r="G43" s="101"/>
      <c r="H43" s="101"/>
      <c r="I43" s="101"/>
      <c r="J43" s="101"/>
      <c r="K43" s="102"/>
      <c r="L43" s="106" t="s">
        <v>70</v>
      </c>
      <c r="M43" s="107"/>
      <c r="N43" s="108"/>
      <c r="O43" s="23">
        <v>0.05</v>
      </c>
      <c r="P43" s="24"/>
      <c r="Q43" s="115">
        <f aca="true" t="shared" si="8" ref="Q43:Q48">SUM(O43*2002.5*12)</f>
        <v>1201.5</v>
      </c>
      <c r="R43" s="62"/>
      <c r="S43" s="32"/>
      <c r="T43" s="23"/>
    </row>
    <row r="44" spans="1:20" ht="12.75">
      <c r="A44" s="98"/>
      <c r="B44" s="99"/>
      <c r="C44" s="100" t="s">
        <v>56</v>
      </c>
      <c r="D44" s="101"/>
      <c r="E44" s="101"/>
      <c r="F44" s="101"/>
      <c r="G44" s="101"/>
      <c r="H44" s="101"/>
      <c r="I44" s="101"/>
      <c r="J44" s="101"/>
      <c r="K44" s="102"/>
      <c r="L44" s="106" t="s">
        <v>57</v>
      </c>
      <c r="M44" s="107"/>
      <c r="N44" s="108"/>
      <c r="O44" s="23">
        <v>0.15</v>
      </c>
      <c r="P44" s="24"/>
      <c r="Q44" s="115">
        <f t="shared" si="8"/>
        <v>3604.5</v>
      </c>
      <c r="R44" s="62"/>
      <c r="S44" s="32"/>
      <c r="T44" s="23"/>
    </row>
    <row r="45" spans="1:20" ht="12.75">
      <c r="A45" s="115"/>
      <c r="B45" s="62"/>
      <c r="C45" s="109" t="s">
        <v>58</v>
      </c>
      <c r="D45" s="110"/>
      <c r="E45" s="110"/>
      <c r="F45" s="110"/>
      <c r="G45" s="110"/>
      <c r="H45" s="110"/>
      <c r="I45" s="110"/>
      <c r="J45" s="110"/>
      <c r="K45" s="111"/>
      <c r="L45" s="106" t="s">
        <v>70</v>
      </c>
      <c r="M45" s="107"/>
      <c r="N45" s="108"/>
      <c r="O45" s="2">
        <v>0.15</v>
      </c>
      <c r="P45" s="2"/>
      <c r="Q45" s="115">
        <f t="shared" si="8"/>
        <v>3604.5</v>
      </c>
      <c r="R45" s="62"/>
      <c r="S45" s="32"/>
      <c r="T45" s="2"/>
    </row>
    <row r="46" spans="1:20" ht="12.75">
      <c r="A46" s="115"/>
      <c r="B46" s="62"/>
      <c r="C46" s="116" t="s">
        <v>59</v>
      </c>
      <c r="D46" s="117"/>
      <c r="E46" s="117"/>
      <c r="F46" s="117"/>
      <c r="G46" s="117"/>
      <c r="H46" s="117"/>
      <c r="I46" s="117"/>
      <c r="J46" s="117"/>
      <c r="K46" s="118"/>
      <c r="L46" s="112" t="s">
        <v>60</v>
      </c>
      <c r="M46" s="113"/>
      <c r="N46" s="114"/>
      <c r="O46" s="2">
        <v>0.25</v>
      </c>
      <c r="P46" s="2"/>
      <c r="Q46" s="115">
        <f t="shared" si="8"/>
        <v>6007.5</v>
      </c>
      <c r="R46" s="62"/>
      <c r="S46" s="32"/>
      <c r="T46" s="2"/>
    </row>
    <row r="47" spans="1:20" ht="12.75">
      <c r="A47" s="115"/>
      <c r="B47" s="62"/>
      <c r="C47" s="116" t="s">
        <v>61</v>
      </c>
      <c r="D47" s="117"/>
      <c r="E47" s="117"/>
      <c r="F47" s="117"/>
      <c r="G47" s="117"/>
      <c r="H47" s="117"/>
      <c r="I47" s="117"/>
      <c r="J47" s="117"/>
      <c r="K47" s="118"/>
      <c r="L47" s="112" t="s">
        <v>60</v>
      </c>
      <c r="M47" s="113"/>
      <c r="N47" s="114"/>
      <c r="O47" s="2">
        <v>0.1</v>
      </c>
      <c r="P47" s="25"/>
      <c r="Q47" s="115">
        <f t="shared" si="8"/>
        <v>2403</v>
      </c>
      <c r="R47" s="62"/>
      <c r="S47" s="32"/>
      <c r="T47" s="2"/>
    </row>
    <row r="48" spans="1:20" ht="12.75">
      <c r="A48" s="115"/>
      <c r="B48" s="62"/>
      <c r="C48" s="109" t="s">
        <v>62</v>
      </c>
      <c r="D48" s="110"/>
      <c r="E48" s="110"/>
      <c r="F48" s="110"/>
      <c r="G48" s="110"/>
      <c r="H48" s="110"/>
      <c r="I48" s="110"/>
      <c r="J48" s="110"/>
      <c r="K48" s="111"/>
      <c r="L48" s="112" t="s">
        <v>60</v>
      </c>
      <c r="M48" s="113"/>
      <c r="N48" s="114"/>
      <c r="O48" s="2">
        <v>0.25</v>
      </c>
      <c r="P48" s="2"/>
      <c r="Q48" s="115">
        <f t="shared" si="8"/>
        <v>6007.5</v>
      </c>
      <c r="R48" s="62"/>
      <c r="S48" s="32"/>
      <c r="T48" s="2"/>
    </row>
    <row r="49" spans="5:20" ht="12.75">
      <c r="E49" s="51" t="s">
        <v>15</v>
      </c>
      <c r="F49" s="52"/>
      <c r="G49" s="52"/>
      <c r="H49" s="52"/>
      <c r="I49" s="52"/>
      <c r="J49" s="52"/>
      <c r="K49" s="52"/>
      <c r="L49" s="52"/>
      <c r="M49" s="52"/>
      <c r="N49" s="52"/>
      <c r="O49" s="53">
        <f>SUM(O42:O48)</f>
        <v>1</v>
      </c>
      <c r="P49" s="54"/>
      <c r="Q49" s="115">
        <f>SUM(Q42:Q48)</f>
        <v>24030</v>
      </c>
      <c r="R49" s="62"/>
      <c r="S49" s="32"/>
      <c r="T49" s="2"/>
    </row>
  </sheetData>
  <sheetProtection/>
  <mergeCells count="89">
    <mergeCell ref="F4:O4"/>
    <mergeCell ref="P4:Q5"/>
    <mergeCell ref="B18:C18"/>
    <mergeCell ref="A10:D10"/>
    <mergeCell ref="F10:O10"/>
    <mergeCell ref="B5:B6"/>
    <mergeCell ref="C5:C6"/>
    <mergeCell ref="D5:D6"/>
    <mergeCell ref="I5:I6"/>
    <mergeCell ref="B15:C15"/>
    <mergeCell ref="N5:O5"/>
    <mergeCell ref="B8:D8"/>
    <mergeCell ref="A1:T1"/>
    <mergeCell ref="A2:T2"/>
    <mergeCell ref="A3:E3"/>
    <mergeCell ref="F3:R3"/>
    <mergeCell ref="B4:E4"/>
    <mergeCell ref="E5:E6"/>
    <mergeCell ref="K5:K6"/>
    <mergeCell ref="L5:L6"/>
    <mergeCell ref="B14:C14"/>
    <mergeCell ref="F5:F6"/>
    <mergeCell ref="G5:G6"/>
    <mergeCell ref="A11:E11"/>
    <mergeCell ref="A12:E12"/>
    <mergeCell ref="M5:M6"/>
    <mergeCell ref="B9:D9"/>
    <mergeCell ref="B21:C21"/>
    <mergeCell ref="B22:C22"/>
    <mergeCell ref="T4:T6"/>
    <mergeCell ref="P10:Q10"/>
    <mergeCell ref="J5:J6"/>
    <mergeCell ref="R4:R6"/>
    <mergeCell ref="H5:H6"/>
    <mergeCell ref="B16:C16"/>
    <mergeCell ref="S4:S6"/>
    <mergeCell ref="F12:T12"/>
    <mergeCell ref="B19:C19"/>
    <mergeCell ref="B17:C17"/>
    <mergeCell ref="B20:C20"/>
    <mergeCell ref="B27:C27"/>
    <mergeCell ref="R28:T28"/>
    <mergeCell ref="R37:T37"/>
    <mergeCell ref="B23:C23"/>
    <mergeCell ref="B24:C24"/>
    <mergeCell ref="B25:C25"/>
    <mergeCell ref="B26:C26"/>
    <mergeCell ref="A38:T38"/>
    <mergeCell ref="A39:B40"/>
    <mergeCell ref="C39:K40"/>
    <mergeCell ref="L39:N40"/>
    <mergeCell ref="O39:O40"/>
    <mergeCell ref="P39:P40"/>
    <mergeCell ref="Q39:R40"/>
    <mergeCell ref="T39:T40"/>
    <mergeCell ref="A41:B41"/>
    <mergeCell ref="C41:K41"/>
    <mergeCell ref="L41:N41"/>
    <mergeCell ref="Q41:R41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A45:B45"/>
    <mergeCell ref="C45:K45"/>
    <mergeCell ref="L45:N45"/>
    <mergeCell ref="Q45:R45"/>
    <mergeCell ref="A46:B46"/>
    <mergeCell ref="C46:K46"/>
    <mergeCell ref="L46:N46"/>
    <mergeCell ref="Q46:R46"/>
    <mergeCell ref="Q49:R49"/>
    <mergeCell ref="A13:D13"/>
    <mergeCell ref="A47:B47"/>
    <mergeCell ref="C47:K47"/>
    <mergeCell ref="L47:N47"/>
    <mergeCell ref="Q47:R47"/>
    <mergeCell ref="A48:B48"/>
    <mergeCell ref="C48:K48"/>
    <mergeCell ref="L48:N48"/>
    <mergeCell ref="Q48:R48"/>
  </mergeCells>
  <printOptions/>
  <pageMargins left="0.11458333333333333" right="0.0625" top="0.10416666666666667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2018-02-05T06:39:10Z</cp:lastPrinted>
  <dcterms:created xsi:type="dcterms:W3CDTF">2007-02-04T12:22:59Z</dcterms:created>
  <dcterms:modified xsi:type="dcterms:W3CDTF">2018-02-07T08:33:19Z</dcterms:modified>
  <cp:category/>
  <cp:version/>
  <cp:contentType/>
  <cp:contentStatus/>
</cp:coreProperties>
</file>