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35" windowHeight="11400" activeTab="0"/>
  </bookViews>
  <sheets>
    <sheet name="2017" sheetId="1" r:id="rId1"/>
  </sheets>
  <definedNames>
    <definedName name="_xlnm.Print_Area" localSheetId="0">'2017'!$A$1:$T$29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N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492,67-х/в</t>
        </r>
      </text>
    </comment>
    <comment ref="I3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4871,36-эл-во
4326,27-х/в</t>
        </r>
      </text>
    </comment>
    <comment ref="G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разово</t>
        </r>
      </text>
    </comment>
    <comment ref="G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1000р-премия разово</t>
        </r>
      </text>
    </comment>
    <comment ref="O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700р-2 аншлага</t>
        </r>
      </text>
    </comment>
    <comment ref="O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5400р-обслуживание дымохода и вентканала
6105,40-дезинсекция
</t>
        </r>
      </text>
    </comment>
    <comment ref="O19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4228р-покос</t>
        </r>
      </text>
    </comment>
    <comment ref="I20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без г/в</t>
        </r>
      </text>
    </comment>
    <comment ref="J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пополам</t>
        </r>
      </text>
    </comment>
    <comment ref="O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прочистка ливневки-1000р
шланг на полив-1500р</t>
        </r>
      </text>
    </comment>
    <comment ref="O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Опиловка  деревьев - 3000р
1548-акарицидная обработка
дезинсекция-6105р
</t>
        </r>
      </text>
    </comment>
    <comment ref="O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1000-сбор дохлых голубей</t>
        </r>
      </text>
    </comment>
    <comment ref="O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1550-изготовление и установка поручней
1000-ремонт входных порожек
9016-дератизация</t>
        </r>
      </text>
    </comment>
  </commentList>
</comments>
</file>

<file path=xl/sharedStrings.xml><?xml version="1.0" encoding="utf-8"?>
<sst xmlns="http://schemas.openxmlformats.org/spreadsheetml/2006/main" count="119" uniqueCount="103">
  <si>
    <t>Содержание</t>
  </si>
  <si>
    <t>ремонт</t>
  </si>
  <si>
    <t>итого</t>
  </si>
  <si>
    <t>Наименование работ</t>
  </si>
  <si>
    <t>ноябрь</t>
  </si>
  <si>
    <t>декабрь</t>
  </si>
  <si>
    <t>ИТОГО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</si>
  <si>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</si>
  <si>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</si>
  <si>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</si>
  <si>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</si>
  <si>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</si>
  <si>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</si>
  <si>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</si>
  <si>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</si>
  <si>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ИТОГО:</t>
  </si>
  <si>
    <t>долг</t>
  </si>
  <si>
    <t>Итого</t>
  </si>
  <si>
    <t>дезинсекция</t>
  </si>
  <si>
    <t>дератизация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</si>
  <si>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</si>
  <si>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</si>
  <si>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</si>
  <si>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</si>
  <si>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</si>
  <si>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</si>
  <si>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</si>
  <si>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</si>
  <si>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</si>
  <si>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</si>
  <si>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</si>
  <si>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</si>
  <si>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</si>
  <si>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</si>
  <si>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</si>
  <si>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</si>
  <si>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</si>
  <si>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</si>
  <si>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</si>
  <si>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</si>
  <si>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</si>
  <si>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</si>
  <si>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</si>
  <si>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</si>
  <si>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</si>
  <si>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</si>
  <si>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</si>
  <si>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</si>
  <si>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</si>
  <si>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</si>
  <si>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</si>
  <si>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</si>
  <si>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</si>
  <si>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</si>
  <si>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</si>
  <si>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</si>
  <si>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</si>
  <si>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</si>
  <si>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</si>
  <si>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</si>
  <si>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</si>
  <si>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</si>
  <si>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</si>
  <si>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</si>
  <si>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</si>
  <si>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</si>
  <si>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</si>
  <si>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</si>
  <si>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</si>
  <si>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</si>
  <si>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</si>
  <si>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</si>
  <si>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</si>
  <si>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</si>
  <si>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</si>
  <si>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>Информация о доходах и расходах по дому __Ленинградская 46__на 2017год.</t>
  </si>
  <si>
    <t>Непредвиденные затраты</t>
  </si>
  <si>
    <t>4871,36-эл-во</t>
  </si>
  <si>
    <t>4326,27-х/в</t>
  </si>
  <si>
    <t>3952-эл-во</t>
  </si>
  <si>
    <t>2170,83-х/в</t>
  </si>
  <si>
    <t>4996,16-эл-во</t>
  </si>
  <si>
    <t>3505,15-х/в</t>
  </si>
  <si>
    <t>4663,36-эл-во</t>
  </si>
  <si>
    <t>3538-х/в</t>
  </si>
  <si>
    <t>2 аншлага</t>
  </si>
  <si>
    <t>обслуживание дымохода и вентканала</t>
  </si>
  <si>
    <t>3384-х/в</t>
  </si>
  <si>
    <t>услуги сторонних организаций, разовые работы</t>
  </si>
  <si>
    <t>прочистка ливневки</t>
  </si>
  <si>
    <t>шланг на полив</t>
  </si>
  <si>
    <t>2734-х/в</t>
  </si>
  <si>
    <t>5811,95-эл-во</t>
  </si>
  <si>
    <t>3495,95-эл-во</t>
  </si>
  <si>
    <t>3416,37-эл-во</t>
  </si>
  <si>
    <t>3646,30-х/в</t>
  </si>
  <si>
    <t>опиловка деревьев</t>
  </si>
  <si>
    <t>акарицидная обработка</t>
  </si>
  <si>
    <t>сбор голубей</t>
  </si>
  <si>
    <t>изготовление и установка поручней</t>
  </si>
  <si>
    <t>ремонт входных порожек</t>
  </si>
  <si>
    <t>ТО приборов учета</t>
  </si>
  <si>
    <t>диагностика ПУ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</si>
</sst>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00"/>
    <numFmt numFmtId="174" formatCode="#,##0.0_р_."/>
    <numFmt numFmtId="175" formatCode="#,##0.000_р_."/>
    <numFmt numFmtId="176" formatCode="#,##0_р_."/>
    <numFmt numFmtId="177" formatCode="#,##0.00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#,##0.00&quot;р.&quot;"/>
    <numFmt numFmtId="184" formatCode="#,##0&quot;р.&quot;"/>
  </numFmts>
  <fonts count="52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11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4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1" fillId="33" borderId="11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6" fillId="34" borderId="10" xfId="0" applyNumberFormat="1" applyFont="1" applyFill="1" applyBorder="1" applyAlignment="1">
      <alignment horizontal="left"/>
    </xf>
    <xf numFmtId="172" fontId="2" fillId="13" borderId="10" xfId="0" applyNumberFormat="1" applyFont="1" applyFill="1" applyBorder="1" applyAlignment="1">
      <alignment/>
    </xf>
    <xf numFmtId="172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17" fontId="6" fillId="12" borderId="10" xfId="0" applyNumberFormat="1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2" fontId="0" fillId="13" borderId="15" xfId="0" applyNumberFormat="1" applyFont="1" applyFill="1" applyBorder="1" applyAlignment="1">
      <alignment horizontal="center" vertical="top" wrapText="1"/>
    </xf>
    <xf numFmtId="2" fontId="2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Border="1" applyAlignment="1">
      <alignment vertical="top" textRotation="90" wrapText="1"/>
    </xf>
    <xf numFmtId="0" fontId="10" fillId="33" borderId="10" xfId="0" applyNumberFormat="1" applyFont="1" applyFill="1" applyBorder="1" applyAlignment="1">
      <alignment wrapText="1"/>
    </xf>
    <xf numFmtId="2" fontId="2" fillId="0" borderId="13" xfId="0" applyNumberFormat="1" applyFont="1" applyBorder="1" applyAlignment="1">
      <alignment horizontal="center" vertical="top"/>
    </xf>
    <xf numFmtId="2" fontId="2" fillId="33" borderId="13" xfId="0" applyNumberFormat="1" applyFont="1" applyFill="1" applyBorder="1" applyAlignment="1">
      <alignment horizontal="right"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33" borderId="13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1" fillId="33" borderId="17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wrapText="1"/>
    </xf>
    <xf numFmtId="0" fontId="2" fillId="10" borderId="17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2" fontId="9" fillId="10" borderId="1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9" fillId="7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172" fontId="9" fillId="35" borderId="1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42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2" fontId="2" fillId="13" borderId="16" xfId="0" applyNumberFormat="1" applyFont="1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" fontId="11" fillId="35" borderId="10" xfId="0" applyNumberFormat="1" applyFont="1" applyFill="1" applyBorder="1" applyAlignment="1">
      <alignment/>
    </xf>
    <xf numFmtId="172" fontId="49" fillId="0" borderId="0" xfId="0" applyNumberFormat="1" applyFont="1" applyFill="1" applyBorder="1" applyAlignment="1">
      <alignment/>
    </xf>
    <xf numFmtId="172" fontId="9" fillId="13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42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50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left" wrapText="1"/>
    </xf>
    <xf numFmtId="2" fontId="1" fillId="0" borderId="18" xfId="0" applyNumberFormat="1" applyFont="1" applyBorder="1" applyAlignment="1">
      <alignment horizontal="left" wrapText="1"/>
    </xf>
    <xf numFmtId="2" fontId="1" fillId="0" borderId="22" xfId="0" applyNumberFormat="1" applyFont="1" applyBorder="1" applyAlignment="1">
      <alignment horizontal="left" wrapText="1"/>
    </xf>
    <xf numFmtId="2" fontId="1" fillId="0" borderId="19" xfId="0" applyNumberFormat="1" applyFont="1" applyBorder="1" applyAlignment="1">
      <alignment horizontal="left" wrapText="1"/>
    </xf>
    <xf numFmtId="2" fontId="1" fillId="0" borderId="12" xfId="0" applyNumberFormat="1" applyFont="1" applyBorder="1" applyAlignment="1">
      <alignment horizontal="left" textRotation="90" wrapText="1"/>
    </xf>
    <xf numFmtId="2" fontId="1" fillId="0" borderId="23" xfId="0" applyNumberFormat="1" applyFont="1" applyBorder="1" applyAlignment="1">
      <alignment horizontal="left" textRotation="90" wrapText="1"/>
    </xf>
    <xf numFmtId="2" fontId="1" fillId="0" borderId="13" xfId="0" applyNumberFormat="1" applyFont="1" applyBorder="1" applyAlignment="1">
      <alignment horizontal="left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51" fillId="0" borderId="21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4" borderId="15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0" fillId="4" borderId="17" xfId="0" applyFill="1" applyBorder="1" applyAlignment="1">
      <alignment horizontal="left" wrapText="1"/>
    </xf>
    <xf numFmtId="0" fontId="0" fillId="4" borderId="15" xfId="0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42" fontId="2" fillId="0" borderId="0" xfId="0" applyNumberFormat="1" applyFont="1" applyFill="1" applyBorder="1" applyAlignment="1">
      <alignment horizontal="center"/>
    </xf>
    <xf numFmtId="172" fontId="2" fillId="4" borderId="15" xfId="0" applyNumberFormat="1" applyFont="1" applyFill="1" applyBorder="1" applyAlignment="1">
      <alignment horizontal="center"/>
    </xf>
    <xf numFmtId="172" fontId="2" fillId="4" borderId="17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 textRotation="90" wrapText="1"/>
    </xf>
    <xf numFmtId="2" fontId="2" fillId="0" borderId="23" xfId="0" applyNumberFormat="1" applyFont="1" applyBorder="1" applyAlignment="1">
      <alignment horizontal="center" textRotation="90" wrapText="1"/>
    </xf>
    <xf numFmtId="2" fontId="2" fillId="0" borderId="13" xfId="0" applyNumberFormat="1" applyFont="1" applyBorder="1" applyAlignment="1">
      <alignment horizontal="center" textRotation="90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4" borderId="1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172" fontId="8" fillId="0" borderId="20" xfId="0" applyNumberFormat="1" applyFont="1" applyFill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2" fontId="9" fillId="35" borderId="15" xfId="0" applyNumberFormat="1" applyFont="1" applyFill="1" applyBorder="1" applyAlignment="1">
      <alignment horizontal="center"/>
    </xf>
    <xf numFmtId="172" fontId="9" fillId="35" borderId="17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wrapText="1"/>
    </xf>
    <xf numFmtId="2" fontId="6" fillId="0" borderId="15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172" fontId="9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V59"/>
  <sheetViews>
    <sheetView tabSelected="1" workbookViewId="0" topLeftCell="A7">
      <selection activeCell="N42" sqref="N42"/>
    </sheetView>
  </sheetViews>
  <sheetFormatPr defaultColWidth="9.00390625" defaultRowHeight="12.75"/>
  <cols>
    <col min="1" max="1" width="5.875" style="0" customWidth="1"/>
    <col min="2" max="2" width="7.625" style="0" customWidth="1"/>
    <col min="3" max="3" width="5.125" style="0" customWidth="1"/>
    <col min="4" max="4" width="8.875" style="0" customWidth="1"/>
    <col min="5" max="5" width="7.75390625" style="0" customWidth="1"/>
    <col min="6" max="6" width="8.75390625" style="0" customWidth="1"/>
    <col min="7" max="7" width="8.25390625" style="0" customWidth="1"/>
    <col min="8" max="8" width="8.375" style="0" customWidth="1"/>
    <col min="9" max="9" width="8.25390625" style="0" customWidth="1"/>
    <col min="10" max="10" width="9.125" style="0" customWidth="1"/>
    <col min="11" max="12" width="9.125" style="0" hidden="1" customWidth="1"/>
    <col min="13" max="13" width="8.375" style="0" customWidth="1"/>
    <col min="17" max="17" width="7.625" style="0" customWidth="1"/>
    <col min="19" max="19" width="8.00390625" style="0" customWidth="1"/>
  </cols>
  <sheetData>
    <row r="1" spans="1:20" ht="15.75">
      <c r="A1" s="65" t="s">
        <v>75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2.75" hidden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ht="12.75">
      <c r="A3" s="66"/>
      <c r="B3" s="64"/>
      <c r="C3" s="64"/>
      <c r="D3" s="64"/>
      <c r="E3" s="160"/>
      <c r="F3" s="113" t="s">
        <v>20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  <c r="S3" s="50"/>
      <c r="T3" s="1"/>
    </row>
    <row r="4" spans="1:20" ht="12.75" customHeight="1">
      <c r="A4" s="5"/>
      <c r="B4" s="161" t="s">
        <v>21</v>
      </c>
      <c r="C4" s="162"/>
      <c r="D4" s="162"/>
      <c r="E4" s="163"/>
      <c r="F4" s="67" t="s">
        <v>0</v>
      </c>
      <c r="G4" s="68"/>
      <c r="H4" s="68"/>
      <c r="I4" s="68"/>
      <c r="J4" s="68"/>
      <c r="K4" s="68"/>
      <c r="L4" s="68"/>
      <c r="M4" s="68"/>
      <c r="N4" s="68"/>
      <c r="O4" s="68"/>
      <c r="P4" s="69" t="s">
        <v>22</v>
      </c>
      <c r="Q4" s="70"/>
      <c r="R4" s="73" t="s">
        <v>23</v>
      </c>
      <c r="S4" s="126" t="s">
        <v>76</v>
      </c>
      <c r="T4" s="76" t="s">
        <v>6</v>
      </c>
    </row>
    <row r="5" spans="1:20" ht="45.75" customHeight="1">
      <c r="A5" s="6"/>
      <c r="B5" s="79" t="s">
        <v>24</v>
      </c>
      <c r="C5" s="79" t="s">
        <v>1</v>
      </c>
      <c r="D5" s="79" t="s">
        <v>70</v>
      </c>
      <c r="E5" s="83" t="s">
        <v>2</v>
      </c>
      <c r="F5" s="81" t="s">
        <v>25</v>
      </c>
      <c r="G5" s="81" t="s">
        <v>26</v>
      </c>
      <c r="H5" s="81" t="s">
        <v>27</v>
      </c>
      <c r="I5" s="81" t="s">
        <v>28</v>
      </c>
      <c r="J5" s="81" t="s">
        <v>29</v>
      </c>
      <c r="K5" s="81" t="s">
        <v>30</v>
      </c>
      <c r="L5" s="81" t="s">
        <v>31</v>
      </c>
      <c r="M5" s="81" t="s">
        <v>32</v>
      </c>
      <c r="N5" s="85" t="s">
        <v>33</v>
      </c>
      <c r="O5" s="87"/>
      <c r="P5" s="71"/>
      <c r="Q5" s="72"/>
      <c r="R5" s="74"/>
      <c r="S5" s="127"/>
      <c r="T5" s="77"/>
    </row>
    <row r="6" spans="1:20" ht="123.75" customHeight="1">
      <c r="A6" s="8"/>
      <c r="B6" s="80"/>
      <c r="C6" s="80"/>
      <c r="D6" s="80"/>
      <c r="E6" s="84"/>
      <c r="F6" s="82"/>
      <c r="G6" s="82"/>
      <c r="H6" s="82"/>
      <c r="I6" s="82"/>
      <c r="J6" s="82"/>
      <c r="K6" s="82"/>
      <c r="L6" s="82"/>
      <c r="M6" s="82"/>
      <c r="N6" s="29" t="s">
        <v>71</v>
      </c>
      <c r="O6" s="29" t="s">
        <v>88</v>
      </c>
      <c r="P6" s="7" t="s">
        <v>34</v>
      </c>
      <c r="Q6" s="7" t="s">
        <v>35</v>
      </c>
      <c r="R6" s="75"/>
      <c r="S6" s="128"/>
      <c r="T6" s="78"/>
    </row>
    <row r="7" spans="1:20" ht="14.25">
      <c r="A7" s="30">
        <v>2016</v>
      </c>
      <c r="B7" s="31">
        <v>8.5</v>
      </c>
      <c r="C7" s="31">
        <v>2</v>
      </c>
      <c r="D7" s="31">
        <v>1.5</v>
      </c>
      <c r="E7" s="10">
        <f>SUM(B7:D7)</f>
        <v>12</v>
      </c>
      <c r="F7" s="32">
        <v>1</v>
      </c>
      <c r="G7" s="32">
        <v>1.57</v>
      </c>
      <c r="H7" s="32">
        <v>1.6</v>
      </c>
      <c r="I7" s="32">
        <v>0.48</v>
      </c>
      <c r="J7" s="32">
        <v>0.35</v>
      </c>
      <c r="K7" s="32">
        <v>0</v>
      </c>
      <c r="L7" s="32">
        <v>0</v>
      </c>
      <c r="M7" s="32">
        <v>1.5</v>
      </c>
      <c r="N7" s="32">
        <v>0</v>
      </c>
      <c r="O7" s="32">
        <v>2</v>
      </c>
      <c r="P7" s="33">
        <v>1</v>
      </c>
      <c r="Q7" s="33">
        <v>1</v>
      </c>
      <c r="R7" s="34">
        <v>1.5</v>
      </c>
      <c r="S7" s="34">
        <v>0</v>
      </c>
      <c r="T7" s="9">
        <f>SUM(F7:R7)</f>
        <v>12</v>
      </c>
    </row>
    <row r="8" spans="1:20" ht="14.25">
      <c r="A8" s="30">
        <v>2017</v>
      </c>
      <c r="B8" s="156" t="s">
        <v>72</v>
      </c>
      <c r="C8" s="157"/>
      <c r="D8" s="158"/>
      <c r="E8" s="10">
        <v>13.25</v>
      </c>
      <c r="F8" s="35">
        <v>1</v>
      </c>
      <c r="G8" s="35">
        <v>1.57</v>
      </c>
      <c r="H8" s="35">
        <v>1.6</v>
      </c>
      <c r="I8" s="35">
        <v>0.48</v>
      </c>
      <c r="J8" s="35">
        <v>0.35</v>
      </c>
      <c r="K8" s="35">
        <v>0</v>
      </c>
      <c r="L8" s="35">
        <v>0</v>
      </c>
      <c r="M8" s="35">
        <v>1.5</v>
      </c>
      <c r="N8" s="35">
        <v>1.25</v>
      </c>
      <c r="O8" s="35">
        <v>2</v>
      </c>
      <c r="P8" s="33">
        <v>1</v>
      </c>
      <c r="Q8" s="36">
        <v>1</v>
      </c>
      <c r="R8" s="34">
        <v>1.5</v>
      </c>
      <c r="S8" s="34">
        <v>0</v>
      </c>
      <c r="T8" s="9">
        <f>SUM(F8:R8)</f>
        <v>13.25</v>
      </c>
    </row>
    <row r="9" spans="1:20" ht="14.25">
      <c r="A9" s="30">
        <v>2017</v>
      </c>
      <c r="B9" s="156" t="s">
        <v>73</v>
      </c>
      <c r="C9" s="157"/>
      <c r="D9" s="158"/>
      <c r="E9" s="10">
        <v>13.94</v>
      </c>
      <c r="F9" s="35">
        <v>1</v>
      </c>
      <c r="G9" s="35">
        <v>1.57</v>
      </c>
      <c r="H9" s="35">
        <v>1.6</v>
      </c>
      <c r="I9" s="35">
        <v>0.48</v>
      </c>
      <c r="J9" s="35">
        <v>0.35</v>
      </c>
      <c r="K9" s="35">
        <v>0</v>
      </c>
      <c r="L9" s="35">
        <v>0</v>
      </c>
      <c r="M9" s="35">
        <v>1.5</v>
      </c>
      <c r="N9" s="35">
        <v>1.94</v>
      </c>
      <c r="O9" s="35">
        <v>2</v>
      </c>
      <c r="P9" s="33">
        <v>1</v>
      </c>
      <c r="Q9" s="36">
        <v>1</v>
      </c>
      <c r="R9" s="34">
        <v>1.5</v>
      </c>
      <c r="S9" s="34">
        <v>0</v>
      </c>
      <c r="T9" s="9">
        <f>SUM(F9:S9)</f>
        <v>13.94</v>
      </c>
    </row>
    <row r="10" spans="1:20" ht="24">
      <c r="A10" s="147" t="s">
        <v>36</v>
      </c>
      <c r="B10" s="148"/>
      <c r="C10" s="148"/>
      <c r="D10" s="149"/>
      <c r="E10" s="10">
        <v>3630.4</v>
      </c>
      <c r="F10" s="85" t="s">
        <v>37</v>
      </c>
      <c r="G10" s="86"/>
      <c r="H10" s="86"/>
      <c r="I10" s="86"/>
      <c r="J10" s="86"/>
      <c r="K10" s="86"/>
      <c r="L10" s="86"/>
      <c r="M10" s="86"/>
      <c r="N10" s="86"/>
      <c r="O10" s="87"/>
      <c r="P10" s="88" t="s">
        <v>38</v>
      </c>
      <c r="Q10" s="89"/>
      <c r="R10" s="9" t="s">
        <v>39</v>
      </c>
      <c r="S10" s="9">
        <v>0</v>
      </c>
      <c r="T10" s="9"/>
    </row>
    <row r="11" spans="1:20" ht="12.75">
      <c r="A11" s="90" t="s">
        <v>40</v>
      </c>
      <c r="B11" s="91"/>
      <c r="C11" s="91"/>
      <c r="D11" s="91"/>
      <c r="E11" s="92"/>
      <c r="F11" s="11">
        <f>E10*F7</f>
        <v>3630.4</v>
      </c>
      <c r="G11" s="11">
        <f>E10*G7</f>
        <v>5699.728</v>
      </c>
      <c r="H11" s="11">
        <f>E10*H8</f>
        <v>5808.64</v>
      </c>
      <c r="I11" s="11">
        <f>E10*I7</f>
        <v>1742.5919999999999</v>
      </c>
      <c r="J11" s="11">
        <f>E10*J7</f>
        <v>1270.6399999999999</v>
      </c>
      <c r="K11" s="11">
        <f>SUM(K7*2002.5)</f>
        <v>0</v>
      </c>
      <c r="L11" s="11">
        <f>SUM(L7*2002.5)</f>
        <v>0</v>
      </c>
      <c r="M11" s="11">
        <f>E10*M7</f>
        <v>5445.6</v>
      </c>
      <c r="N11" s="11">
        <f>E10*N9</f>
        <v>7042.976</v>
      </c>
      <c r="O11" s="11">
        <f>E10*O7</f>
        <v>7260.8</v>
      </c>
      <c r="P11" s="11">
        <f>E10*P7</f>
        <v>3630.4</v>
      </c>
      <c r="Q11" s="11">
        <f>E10*Q7</f>
        <v>3630.4</v>
      </c>
      <c r="R11" s="11">
        <f>E10*R7</f>
        <v>5445.6</v>
      </c>
      <c r="S11" s="11">
        <v>0</v>
      </c>
      <c r="T11" s="11">
        <f>SUM(F11:R11)</f>
        <v>50607.776</v>
      </c>
    </row>
    <row r="12" spans="1:20" ht="12.75">
      <c r="A12" s="151" t="s">
        <v>41</v>
      </c>
      <c r="B12" s="151"/>
      <c r="C12" s="151"/>
      <c r="D12" s="151"/>
      <c r="E12" s="152"/>
      <c r="F12" s="93" t="s">
        <v>42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4"/>
    </row>
    <row r="13" spans="1:20" ht="19.5" customHeight="1">
      <c r="A13" s="129" t="s">
        <v>43</v>
      </c>
      <c r="B13" s="129"/>
      <c r="C13" s="129"/>
      <c r="D13" s="130"/>
      <c r="E13" s="12">
        <v>215.6140000000596</v>
      </c>
      <c r="F13" s="26"/>
      <c r="G13" s="27"/>
      <c r="H13" s="13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51"/>
      <c r="T13" s="28"/>
    </row>
    <row r="14" spans="1:20" ht="12.75">
      <c r="A14" s="37"/>
      <c r="B14" s="155" t="s">
        <v>69</v>
      </c>
      <c r="C14" s="155"/>
      <c r="D14" s="38" t="s">
        <v>41</v>
      </c>
      <c r="E14" s="39" t="s">
        <v>16</v>
      </c>
      <c r="F14" s="26"/>
      <c r="G14" s="27"/>
      <c r="H14" s="13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51"/>
      <c r="T14" s="28"/>
    </row>
    <row r="15" spans="1:21" ht="12.75">
      <c r="A15" s="14" t="s">
        <v>44</v>
      </c>
      <c r="B15" s="124">
        <f>36271+7254.2</f>
        <v>43525.2</v>
      </c>
      <c r="C15" s="150"/>
      <c r="D15" s="40">
        <f>4733+24965+619+1132.05+4993</f>
        <v>36442.05</v>
      </c>
      <c r="E15" s="41"/>
      <c r="F15" s="15">
        <f>E10*F8</f>
        <v>3630.4</v>
      </c>
      <c r="G15" s="15">
        <f>E10*G8</f>
        <v>5699.728</v>
      </c>
      <c r="H15" s="16">
        <f>E10*H8</f>
        <v>5808.64</v>
      </c>
      <c r="I15" s="15">
        <v>2400</v>
      </c>
      <c r="J15" s="15">
        <v>635.32</v>
      </c>
      <c r="K15" s="15">
        <v>0</v>
      </c>
      <c r="L15" s="15">
        <v>0</v>
      </c>
      <c r="M15" s="15">
        <f>E10*M8</f>
        <v>5445.6</v>
      </c>
      <c r="N15" s="15">
        <v>492.67</v>
      </c>
      <c r="O15" s="15">
        <v>0</v>
      </c>
      <c r="P15" s="42">
        <v>1359</v>
      </c>
      <c r="Q15" s="42">
        <v>0</v>
      </c>
      <c r="R15" s="15">
        <f>E10*R8</f>
        <v>5445.6</v>
      </c>
      <c r="S15" s="15">
        <v>0</v>
      </c>
      <c r="T15" s="17">
        <f aca="true" t="shared" si="0" ref="T15:T26">SUM(F15:S15)</f>
        <v>30916.958</v>
      </c>
      <c r="U15" s="3"/>
    </row>
    <row r="16" spans="1:21" ht="12.75">
      <c r="A16" s="14" t="s">
        <v>45</v>
      </c>
      <c r="B16" s="124">
        <v>48059.25</v>
      </c>
      <c r="C16" s="125"/>
      <c r="D16" s="40">
        <f>4748+32442+949.54+6590.8</f>
        <v>44730.340000000004</v>
      </c>
      <c r="E16" s="41"/>
      <c r="F16" s="15">
        <f aca="true" t="shared" si="1" ref="F16:F26">3630.4*1</f>
        <v>3630.4</v>
      </c>
      <c r="G16" s="15">
        <f>3630.4*1.57</f>
        <v>5699.728</v>
      </c>
      <c r="H16" s="16">
        <f aca="true" t="shared" si="2" ref="H16:H26">3630.4*1.6</f>
        <v>5808.64</v>
      </c>
      <c r="I16" s="15">
        <v>2400</v>
      </c>
      <c r="J16" s="15">
        <v>635.32</v>
      </c>
      <c r="K16" s="15"/>
      <c r="L16" s="15"/>
      <c r="M16" s="15">
        <f aca="true" t="shared" si="3" ref="M16:M26">3630.4*1.5</f>
        <v>5445.6</v>
      </c>
      <c r="N16" s="15">
        <f>E10*N8</f>
        <v>4538</v>
      </c>
      <c r="O16" s="15">
        <v>0</v>
      </c>
      <c r="P16" s="42">
        <v>0</v>
      </c>
      <c r="Q16" s="42">
        <v>0</v>
      </c>
      <c r="R16" s="15">
        <f aca="true" t="shared" si="4" ref="R16:R26">3630.4*1.5</f>
        <v>5445.6</v>
      </c>
      <c r="S16" s="15">
        <f aca="true" t="shared" si="5" ref="S16:S22">I31-N16</f>
        <v>4659.630000000001</v>
      </c>
      <c r="T16" s="17">
        <f t="shared" si="0"/>
        <v>38262.918000000005</v>
      </c>
      <c r="U16" s="3"/>
    </row>
    <row r="17" spans="1:20" ht="12.75">
      <c r="A17" s="14" t="s">
        <v>8</v>
      </c>
      <c r="B17" s="124">
        <v>48059.25</v>
      </c>
      <c r="C17" s="125"/>
      <c r="D17" s="40">
        <f>8933.18+39304.57</f>
        <v>48237.75</v>
      </c>
      <c r="E17" s="41"/>
      <c r="F17" s="15">
        <f t="shared" si="1"/>
        <v>3630.4</v>
      </c>
      <c r="G17" s="15">
        <f>3630.4*1.57+1332</f>
        <v>7031.728</v>
      </c>
      <c r="H17" s="16">
        <f t="shared" si="2"/>
        <v>5808.64</v>
      </c>
      <c r="I17" s="15">
        <v>2400</v>
      </c>
      <c r="J17" s="15">
        <v>635.32</v>
      </c>
      <c r="K17" s="15"/>
      <c r="L17" s="15"/>
      <c r="M17" s="15">
        <f t="shared" si="3"/>
        <v>5445.6</v>
      </c>
      <c r="N17" s="15">
        <v>4538</v>
      </c>
      <c r="O17" s="15">
        <v>0</v>
      </c>
      <c r="P17" s="42">
        <v>13894</v>
      </c>
      <c r="Q17" s="42">
        <v>0</v>
      </c>
      <c r="R17" s="15">
        <f t="shared" si="4"/>
        <v>5445.6</v>
      </c>
      <c r="S17" s="15">
        <f t="shared" si="5"/>
        <v>1584.83</v>
      </c>
      <c r="T17" s="17">
        <f t="shared" si="0"/>
        <v>50414.118</v>
      </c>
    </row>
    <row r="18" spans="1:20" ht="12.75">
      <c r="A18" s="14" t="s">
        <v>46</v>
      </c>
      <c r="B18" s="124">
        <v>48059.25</v>
      </c>
      <c r="C18" s="125"/>
      <c r="D18" s="40">
        <f>6172.95+44137.31</f>
        <v>50310.259999999995</v>
      </c>
      <c r="E18" s="41"/>
      <c r="F18" s="15">
        <f t="shared" si="1"/>
        <v>3630.4</v>
      </c>
      <c r="G18" s="15">
        <f>5699.73+1332</f>
        <v>7031.73</v>
      </c>
      <c r="H18" s="16">
        <f t="shared" si="2"/>
        <v>5808.64</v>
      </c>
      <c r="I18" s="15">
        <v>1700</v>
      </c>
      <c r="J18" s="15">
        <v>635.32</v>
      </c>
      <c r="K18" s="15"/>
      <c r="L18" s="15"/>
      <c r="M18" s="15">
        <f t="shared" si="3"/>
        <v>5445.6</v>
      </c>
      <c r="N18" s="15">
        <v>4538</v>
      </c>
      <c r="O18" s="15">
        <v>700</v>
      </c>
      <c r="P18" s="42">
        <v>0</v>
      </c>
      <c r="Q18" s="42">
        <v>0</v>
      </c>
      <c r="R18" s="15">
        <f t="shared" si="4"/>
        <v>5445.6</v>
      </c>
      <c r="S18" s="15">
        <f t="shared" si="5"/>
        <v>3963.3099999999995</v>
      </c>
      <c r="T18" s="17">
        <f t="shared" si="0"/>
        <v>38898.6</v>
      </c>
    </row>
    <row r="19" spans="1:20" ht="12.75">
      <c r="A19" s="14" t="s">
        <v>10</v>
      </c>
      <c r="B19" s="124">
        <v>48059.25</v>
      </c>
      <c r="C19" s="125"/>
      <c r="D19" s="40">
        <f>3955.15+40060.13</f>
        <v>44015.28</v>
      </c>
      <c r="E19" s="41"/>
      <c r="F19" s="15">
        <f t="shared" si="1"/>
        <v>3630.4</v>
      </c>
      <c r="G19" s="15">
        <v>5699.73</v>
      </c>
      <c r="H19" s="16">
        <f t="shared" si="2"/>
        <v>5808.64</v>
      </c>
      <c r="I19" s="15">
        <v>1000</v>
      </c>
      <c r="J19" s="15">
        <v>635.32</v>
      </c>
      <c r="K19" s="15"/>
      <c r="L19" s="15"/>
      <c r="M19" s="15">
        <f t="shared" si="3"/>
        <v>5445.6</v>
      </c>
      <c r="N19" s="15">
        <v>4538</v>
      </c>
      <c r="O19" s="15">
        <v>4228</v>
      </c>
      <c r="P19" s="42">
        <v>0</v>
      </c>
      <c r="Q19" s="42">
        <v>9757</v>
      </c>
      <c r="R19" s="15">
        <f t="shared" si="4"/>
        <v>5445.6</v>
      </c>
      <c r="S19" s="15">
        <f t="shared" si="5"/>
        <v>3663.3600000000006</v>
      </c>
      <c r="T19" s="17">
        <f t="shared" si="0"/>
        <v>49851.65</v>
      </c>
    </row>
    <row r="20" spans="1:20" ht="12.75">
      <c r="A20" s="14" t="s">
        <v>11</v>
      </c>
      <c r="B20" s="124">
        <v>48970.12</v>
      </c>
      <c r="C20" s="125"/>
      <c r="D20" s="40">
        <f>5649.11+42039.07+4.44</f>
        <v>47692.62</v>
      </c>
      <c r="E20" s="41"/>
      <c r="F20" s="15">
        <f t="shared" si="1"/>
        <v>3630.4</v>
      </c>
      <c r="G20" s="15">
        <v>5699.73</v>
      </c>
      <c r="H20" s="16">
        <f t="shared" si="2"/>
        <v>5808.64</v>
      </c>
      <c r="I20" s="15">
        <v>0</v>
      </c>
      <c r="J20" s="15">
        <v>635.32</v>
      </c>
      <c r="K20" s="15"/>
      <c r="L20" s="15"/>
      <c r="M20" s="15">
        <f t="shared" si="3"/>
        <v>5445.6</v>
      </c>
      <c r="N20" s="15">
        <v>4538</v>
      </c>
      <c r="O20" s="15">
        <f>11505.4</f>
        <v>11505.4</v>
      </c>
      <c r="P20" s="42">
        <v>1315</v>
      </c>
      <c r="Q20" s="42">
        <v>0</v>
      </c>
      <c r="R20" s="15">
        <f t="shared" si="4"/>
        <v>5445.6</v>
      </c>
      <c r="S20" s="15">
        <f t="shared" si="5"/>
        <v>4657.950000000001</v>
      </c>
      <c r="T20" s="17">
        <f t="shared" si="0"/>
        <v>48681.64</v>
      </c>
    </row>
    <row r="21" spans="1:21" ht="12.75">
      <c r="A21" s="14" t="s">
        <v>12</v>
      </c>
      <c r="B21" s="124">
        <v>49188.03</v>
      </c>
      <c r="C21" s="125"/>
      <c r="D21" s="40">
        <f>10158.18+35469.93</f>
        <v>45628.11</v>
      </c>
      <c r="E21" s="41"/>
      <c r="F21" s="15">
        <f t="shared" si="1"/>
        <v>3630.4</v>
      </c>
      <c r="G21" s="15">
        <v>5699.73</v>
      </c>
      <c r="H21" s="16">
        <f t="shared" si="2"/>
        <v>5808.64</v>
      </c>
      <c r="I21" s="15">
        <v>1000</v>
      </c>
      <c r="J21" s="15">
        <v>635.32</v>
      </c>
      <c r="K21" s="15"/>
      <c r="L21" s="15"/>
      <c r="M21" s="15">
        <f t="shared" si="3"/>
        <v>5445.6</v>
      </c>
      <c r="N21" s="15">
        <v>5627.12</v>
      </c>
      <c r="O21" s="15">
        <f>1000+1500</f>
        <v>2500</v>
      </c>
      <c r="P21" s="42">
        <v>12893</v>
      </c>
      <c r="Q21" s="42">
        <v>0</v>
      </c>
      <c r="R21" s="15">
        <f t="shared" si="4"/>
        <v>5445.6</v>
      </c>
      <c r="S21" s="15">
        <f t="shared" si="5"/>
        <v>602.8599999999997</v>
      </c>
      <c r="T21" s="17">
        <f t="shared" si="0"/>
        <v>49288.27</v>
      </c>
      <c r="U21" s="3"/>
    </row>
    <row r="22" spans="1:20" ht="12.75">
      <c r="A22" s="14" t="s">
        <v>13</v>
      </c>
      <c r="B22" s="124">
        <v>49188.03</v>
      </c>
      <c r="C22" s="125"/>
      <c r="D22" s="40">
        <v>77006.57</v>
      </c>
      <c r="E22" s="41"/>
      <c r="F22" s="15">
        <f t="shared" si="1"/>
        <v>3630.4</v>
      </c>
      <c r="G22" s="15">
        <v>5699.73</v>
      </c>
      <c r="H22" s="16">
        <f t="shared" si="2"/>
        <v>5808.64</v>
      </c>
      <c r="I22" s="15">
        <v>1000</v>
      </c>
      <c r="J22" s="15">
        <v>635.32</v>
      </c>
      <c r="K22" s="15"/>
      <c r="L22" s="15"/>
      <c r="M22" s="15">
        <f t="shared" si="3"/>
        <v>5445.6</v>
      </c>
      <c r="N22" s="15">
        <v>5627.12</v>
      </c>
      <c r="O22" s="15">
        <v>0</v>
      </c>
      <c r="P22" s="42">
        <v>18031</v>
      </c>
      <c r="Q22" s="42">
        <v>0</v>
      </c>
      <c r="R22" s="15">
        <f t="shared" si="4"/>
        <v>5445.6</v>
      </c>
      <c r="S22" s="15">
        <f t="shared" si="5"/>
        <v>1435.5500000000002</v>
      </c>
      <c r="T22" s="17">
        <f t="shared" si="0"/>
        <v>52758.96</v>
      </c>
    </row>
    <row r="23" spans="1:20" ht="12.75">
      <c r="A23" s="14" t="s">
        <v>47</v>
      </c>
      <c r="B23" s="124">
        <v>50603.57</v>
      </c>
      <c r="C23" s="125"/>
      <c r="D23" s="40">
        <v>53308.01</v>
      </c>
      <c r="E23" s="41"/>
      <c r="F23" s="15">
        <f t="shared" si="1"/>
        <v>3630.4</v>
      </c>
      <c r="G23" s="15">
        <v>5699.73</v>
      </c>
      <c r="H23" s="16">
        <f t="shared" si="2"/>
        <v>5808.64</v>
      </c>
      <c r="I23" s="15">
        <v>1000</v>
      </c>
      <c r="J23" s="15">
        <v>635.32</v>
      </c>
      <c r="K23" s="15"/>
      <c r="L23" s="15"/>
      <c r="M23" s="15">
        <f t="shared" si="3"/>
        <v>5445.6</v>
      </c>
      <c r="N23" s="15">
        <f>3095.27+5092.08</f>
        <v>8187.35</v>
      </c>
      <c r="O23" s="15">
        <v>10653</v>
      </c>
      <c r="P23" s="42">
        <f>310+5119</f>
        <v>5429</v>
      </c>
      <c r="Q23" s="42">
        <v>0</v>
      </c>
      <c r="R23" s="15">
        <f t="shared" si="4"/>
        <v>5445.6</v>
      </c>
      <c r="S23" s="15">
        <v>0</v>
      </c>
      <c r="T23" s="17">
        <f t="shared" si="0"/>
        <v>51934.64</v>
      </c>
    </row>
    <row r="24" spans="1:20" ht="12.75">
      <c r="A24" s="14" t="s">
        <v>48</v>
      </c>
      <c r="B24" s="124">
        <v>51729.1</v>
      </c>
      <c r="C24" s="125"/>
      <c r="D24" s="40">
        <v>57309.89</v>
      </c>
      <c r="E24" s="41"/>
      <c r="F24" s="15">
        <f t="shared" si="1"/>
        <v>3630.4</v>
      </c>
      <c r="G24" s="15">
        <v>5699.73</v>
      </c>
      <c r="H24" s="16">
        <f t="shared" si="2"/>
        <v>5808.64</v>
      </c>
      <c r="I24" s="15">
        <v>2400</v>
      </c>
      <c r="J24" s="15">
        <v>635.32</v>
      </c>
      <c r="K24" s="15"/>
      <c r="L24" s="15"/>
      <c r="M24" s="15">
        <f t="shared" si="3"/>
        <v>5445.6</v>
      </c>
      <c r="N24" s="15">
        <f>5399.51+7877.43</f>
        <v>13276.94</v>
      </c>
      <c r="O24" s="15">
        <v>0</v>
      </c>
      <c r="P24" s="42">
        <v>0</v>
      </c>
      <c r="Q24" s="42">
        <v>0</v>
      </c>
      <c r="R24" s="15">
        <f t="shared" si="4"/>
        <v>5445.6</v>
      </c>
      <c r="S24" s="15">
        <v>0</v>
      </c>
      <c r="T24" s="17">
        <f t="shared" si="0"/>
        <v>42342.23</v>
      </c>
    </row>
    <row r="25" spans="1:20" ht="12.75">
      <c r="A25" s="14" t="s">
        <v>49</v>
      </c>
      <c r="B25" s="124">
        <v>56847.39</v>
      </c>
      <c r="C25" s="125"/>
      <c r="D25" s="40">
        <v>50222.76</v>
      </c>
      <c r="E25" s="41"/>
      <c r="F25" s="15">
        <f t="shared" si="1"/>
        <v>3630.4</v>
      </c>
      <c r="G25" s="15">
        <v>5699.73</v>
      </c>
      <c r="H25" s="16">
        <f t="shared" si="2"/>
        <v>5808.64</v>
      </c>
      <c r="I25" s="15">
        <v>2400</v>
      </c>
      <c r="J25" s="15">
        <v>635.32</v>
      </c>
      <c r="K25" s="15"/>
      <c r="L25" s="15"/>
      <c r="M25" s="15">
        <f t="shared" si="3"/>
        <v>5445.6</v>
      </c>
      <c r="N25" s="15">
        <f>3069.97</f>
        <v>3069.97</v>
      </c>
      <c r="O25" s="15">
        <v>1000</v>
      </c>
      <c r="P25" s="42">
        <v>0</v>
      </c>
      <c r="Q25" s="42">
        <v>0</v>
      </c>
      <c r="R25" s="15">
        <f t="shared" si="4"/>
        <v>5445.6</v>
      </c>
      <c r="S25" s="15">
        <v>0</v>
      </c>
      <c r="T25" s="17">
        <f t="shared" si="0"/>
        <v>33135.26</v>
      </c>
    </row>
    <row r="26" spans="1:20" ht="12.75">
      <c r="A26" s="14" t="s">
        <v>50</v>
      </c>
      <c r="B26" s="124">
        <v>46646.96</v>
      </c>
      <c r="C26" s="125"/>
      <c r="D26" s="40">
        <v>54722.26</v>
      </c>
      <c r="E26" s="41"/>
      <c r="F26" s="15">
        <f t="shared" si="1"/>
        <v>3630.4</v>
      </c>
      <c r="G26" s="15">
        <v>5699.73</v>
      </c>
      <c r="H26" s="16">
        <f t="shared" si="2"/>
        <v>5808.64</v>
      </c>
      <c r="I26" s="15">
        <f>2600+1550</f>
        <v>4150</v>
      </c>
      <c r="J26" s="15">
        <v>635.32</v>
      </c>
      <c r="K26" s="15"/>
      <c r="L26" s="15"/>
      <c r="M26" s="15">
        <f t="shared" si="3"/>
        <v>5445.6</v>
      </c>
      <c r="N26" s="15">
        <f>5789.21+3898.93</f>
        <v>9688.14</v>
      </c>
      <c r="O26" s="15">
        <v>11566</v>
      </c>
      <c r="P26" s="42">
        <v>0</v>
      </c>
      <c r="Q26" s="42">
        <v>0</v>
      </c>
      <c r="R26" s="15">
        <f t="shared" si="4"/>
        <v>5445.6</v>
      </c>
      <c r="S26" s="15">
        <v>0</v>
      </c>
      <c r="T26" s="17">
        <f t="shared" si="0"/>
        <v>52069.43</v>
      </c>
    </row>
    <row r="27" spans="1:22" ht="24">
      <c r="A27" s="18" t="s">
        <v>51</v>
      </c>
      <c r="B27" s="124">
        <v>0</v>
      </c>
      <c r="C27" s="125"/>
      <c r="D27" s="40">
        <f>2700+2700+2700+2700</f>
        <v>10800</v>
      </c>
      <c r="E27" s="2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42"/>
      <c r="Q27" s="42"/>
      <c r="R27" s="15"/>
      <c r="S27" s="15"/>
      <c r="T27" s="17"/>
      <c r="V27" s="56"/>
    </row>
    <row r="28" spans="1:22" ht="12.75">
      <c r="A28" s="43" t="s">
        <v>2</v>
      </c>
      <c r="B28" s="145">
        <f>SUM(B15:B27)</f>
        <v>588935.3999999999</v>
      </c>
      <c r="C28" s="146"/>
      <c r="D28" s="44">
        <f>SUM(D15:D27)</f>
        <v>620425.9</v>
      </c>
      <c r="E28" s="44"/>
      <c r="F28" s="44">
        <f>SUM(F15:F27)</f>
        <v>43564.80000000001</v>
      </c>
      <c r="G28" s="44">
        <f>SUM(G15:G27)</f>
        <v>71060.75399999997</v>
      </c>
      <c r="H28" s="44">
        <f>SUM(H15:H27)</f>
        <v>69703.68000000001</v>
      </c>
      <c r="I28" s="44">
        <f>SUM(I15:I27)</f>
        <v>21850</v>
      </c>
      <c r="J28" s="44">
        <f>SUM(J15:J27)</f>
        <v>7623.839999999999</v>
      </c>
      <c r="K28" s="44"/>
      <c r="L28" s="44"/>
      <c r="M28" s="44">
        <f aca="true" t="shared" si="6" ref="M28:T28">SUM(M15:M27)</f>
        <v>65347.19999999999</v>
      </c>
      <c r="N28" s="44">
        <f t="shared" si="6"/>
        <v>68659.31</v>
      </c>
      <c r="O28" s="44">
        <f t="shared" si="6"/>
        <v>42152.4</v>
      </c>
      <c r="P28" s="44">
        <f t="shared" si="6"/>
        <v>52921</v>
      </c>
      <c r="Q28" s="44">
        <f t="shared" si="6"/>
        <v>9757</v>
      </c>
      <c r="R28" s="44">
        <f t="shared" si="6"/>
        <v>65347.19999999999</v>
      </c>
      <c r="S28" s="44">
        <f t="shared" si="6"/>
        <v>20567.49</v>
      </c>
      <c r="T28" s="55">
        <f t="shared" si="6"/>
        <v>538554.6740000001</v>
      </c>
      <c r="V28" s="23"/>
    </row>
    <row r="29" spans="1:22" ht="15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45" t="s">
        <v>15</v>
      </c>
      <c r="R29" s="133">
        <f>E13+D28-T28</f>
        <v>82086.83999999997</v>
      </c>
      <c r="S29" s="133"/>
      <c r="T29" s="133"/>
      <c r="V29" s="56"/>
    </row>
    <row r="30" spans="1:20" ht="12.75">
      <c r="A30" s="22"/>
      <c r="B30" s="23" t="s">
        <v>9</v>
      </c>
      <c r="C30" s="123">
        <v>700</v>
      </c>
      <c r="D30" s="123"/>
      <c r="E30" s="23" t="s">
        <v>85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1:20" ht="12.75">
      <c r="A31" s="22"/>
      <c r="B31" s="23" t="s">
        <v>10</v>
      </c>
      <c r="C31" s="123">
        <v>4228</v>
      </c>
      <c r="D31" s="123"/>
      <c r="E31" s="23" t="s">
        <v>68</v>
      </c>
      <c r="F31" s="23"/>
      <c r="G31" s="23"/>
      <c r="H31" s="23" t="s">
        <v>7</v>
      </c>
      <c r="I31" s="15">
        <f>4871.36+4326.27</f>
        <v>9197.630000000001</v>
      </c>
      <c r="J31" s="23" t="s">
        <v>77</v>
      </c>
      <c r="K31" s="23"/>
      <c r="L31" s="23"/>
      <c r="M31" s="23" t="s">
        <v>78</v>
      </c>
      <c r="O31" s="23"/>
      <c r="P31" s="23"/>
      <c r="Q31" s="23"/>
      <c r="S31" s="23"/>
      <c r="T31" s="23"/>
    </row>
    <row r="32" spans="1:20" ht="12.75">
      <c r="A32" s="22"/>
      <c r="B32" s="23" t="s">
        <v>11</v>
      </c>
      <c r="C32" s="123">
        <v>5400</v>
      </c>
      <c r="D32" s="123"/>
      <c r="E32" s="58" t="s">
        <v>86</v>
      </c>
      <c r="G32" s="23"/>
      <c r="H32" s="23" t="s">
        <v>8</v>
      </c>
      <c r="I32" s="15">
        <f>3952+2170.83</f>
        <v>6122.83</v>
      </c>
      <c r="J32" s="23" t="s">
        <v>79</v>
      </c>
      <c r="K32" s="23"/>
      <c r="L32" s="23"/>
      <c r="M32" s="23" t="s">
        <v>80</v>
      </c>
      <c r="N32" s="23"/>
      <c r="O32" s="23"/>
      <c r="P32" s="23"/>
      <c r="Q32" s="23"/>
      <c r="S32" s="23"/>
      <c r="T32" s="23"/>
    </row>
    <row r="33" spans="1:20" ht="12.75">
      <c r="A33" s="22"/>
      <c r="B33" s="23"/>
      <c r="C33" s="123">
        <v>6105.4</v>
      </c>
      <c r="D33" s="123"/>
      <c r="E33" s="23" t="s">
        <v>18</v>
      </c>
      <c r="G33" s="23"/>
      <c r="H33" s="23" t="s">
        <v>9</v>
      </c>
      <c r="I33" s="15">
        <f>4996.16+3505.15</f>
        <v>8501.31</v>
      </c>
      <c r="J33" s="23" t="s">
        <v>81</v>
      </c>
      <c r="K33" s="23"/>
      <c r="L33" s="23"/>
      <c r="M33" s="23" t="s">
        <v>82</v>
      </c>
      <c r="N33" s="23"/>
      <c r="O33" s="23"/>
      <c r="P33" s="23"/>
      <c r="R33" s="164"/>
      <c r="S33" s="23"/>
      <c r="T33" s="23"/>
    </row>
    <row r="34" spans="1:20" ht="12.75">
      <c r="A34" s="22"/>
      <c r="B34" s="23"/>
      <c r="C34" s="123"/>
      <c r="D34" s="123"/>
      <c r="E34" s="23"/>
      <c r="G34" s="23"/>
      <c r="H34" s="23" t="s">
        <v>10</v>
      </c>
      <c r="I34" s="15">
        <f>4663.36+3538</f>
        <v>8201.36</v>
      </c>
      <c r="J34" s="23" t="s">
        <v>83</v>
      </c>
      <c r="K34" s="23"/>
      <c r="L34" s="23"/>
      <c r="M34" s="23" t="s">
        <v>84</v>
      </c>
      <c r="N34" s="23"/>
      <c r="O34" s="23"/>
      <c r="P34" s="23"/>
      <c r="Q34" s="23"/>
      <c r="R34" s="23"/>
      <c r="S34" s="23"/>
      <c r="T34" s="24"/>
    </row>
    <row r="35" spans="1:20" ht="12.75">
      <c r="A35" s="22"/>
      <c r="B35" s="23" t="s">
        <v>12</v>
      </c>
      <c r="C35" s="123">
        <v>1000</v>
      </c>
      <c r="D35" s="123"/>
      <c r="E35" s="23" t="s">
        <v>89</v>
      </c>
      <c r="G35" s="23"/>
      <c r="H35" s="23" t="s">
        <v>11</v>
      </c>
      <c r="I35" s="57">
        <f>5811.95+3384</f>
        <v>9195.95</v>
      </c>
      <c r="J35" s="23" t="s">
        <v>92</v>
      </c>
      <c r="K35" s="23"/>
      <c r="L35" s="23"/>
      <c r="M35" s="23" t="s">
        <v>87</v>
      </c>
      <c r="N35" s="23"/>
      <c r="O35" s="23"/>
      <c r="P35" s="23"/>
      <c r="Q35" s="23"/>
      <c r="R35" s="23"/>
      <c r="S35" s="23"/>
      <c r="T35" s="24"/>
    </row>
    <row r="36" spans="1:20" ht="12.75">
      <c r="A36" s="22"/>
      <c r="B36" s="23"/>
      <c r="C36" s="59"/>
      <c r="D36" s="59">
        <v>1500</v>
      </c>
      <c r="E36" s="23" t="s">
        <v>90</v>
      </c>
      <c r="G36" s="23"/>
      <c r="H36" s="23" t="s">
        <v>12</v>
      </c>
      <c r="I36" s="57">
        <f>2734.03+3495.95</f>
        <v>6229.98</v>
      </c>
      <c r="J36" s="23" t="s">
        <v>91</v>
      </c>
      <c r="K36" s="23"/>
      <c r="L36" s="23"/>
      <c r="M36" s="23" t="s">
        <v>93</v>
      </c>
      <c r="N36" s="23"/>
      <c r="O36" s="23"/>
      <c r="P36" s="23"/>
      <c r="Q36" s="56"/>
      <c r="R36" s="23"/>
      <c r="S36" s="23"/>
      <c r="T36" s="24"/>
    </row>
    <row r="37" spans="1:20" ht="12.75">
      <c r="A37" s="22"/>
      <c r="B37" s="23" t="s">
        <v>14</v>
      </c>
      <c r="C37" s="123">
        <v>3000</v>
      </c>
      <c r="D37" s="123"/>
      <c r="E37" s="23" t="s">
        <v>96</v>
      </c>
      <c r="G37" s="23"/>
      <c r="H37" s="23" t="s">
        <v>13</v>
      </c>
      <c r="I37" s="57">
        <f>3416.37+3646.3</f>
        <v>7062.67</v>
      </c>
      <c r="J37" s="23" t="s">
        <v>94</v>
      </c>
      <c r="K37" s="23"/>
      <c r="L37" s="23"/>
      <c r="M37" s="23" t="s">
        <v>95</v>
      </c>
      <c r="N37" s="23"/>
      <c r="O37" s="23"/>
      <c r="P37" s="23"/>
      <c r="Q37" s="23"/>
      <c r="R37" s="23"/>
      <c r="S37" s="23"/>
      <c r="T37" s="24"/>
    </row>
    <row r="38" spans="1:20" ht="12.75">
      <c r="A38" s="22"/>
      <c r="B38" s="23"/>
      <c r="C38" s="59"/>
      <c r="D38" s="59">
        <v>1548</v>
      </c>
      <c r="E38" s="23" t="s">
        <v>97</v>
      </c>
      <c r="G38" s="23"/>
      <c r="H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4"/>
    </row>
    <row r="39" spans="3:20" ht="12.75">
      <c r="C39" s="46"/>
      <c r="D39" s="59">
        <v>6105</v>
      </c>
      <c r="E39" s="23" t="s">
        <v>18</v>
      </c>
      <c r="R39" s="63"/>
      <c r="S39" s="63"/>
      <c r="T39" s="63"/>
    </row>
    <row r="40" spans="2:20" ht="12.75">
      <c r="B40" t="s">
        <v>4</v>
      </c>
      <c r="C40" s="46"/>
      <c r="D40" s="59">
        <v>1000</v>
      </c>
      <c r="E40" s="23" t="s">
        <v>98</v>
      </c>
      <c r="R40" s="60"/>
      <c r="S40" s="60"/>
      <c r="T40" s="60"/>
    </row>
    <row r="41" spans="2:20" ht="12.75">
      <c r="B41" t="s">
        <v>5</v>
      </c>
      <c r="C41" s="46"/>
      <c r="D41" s="59">
        <v>1550</v>
      </c>
      <c r="E41" s="23" t="s">
        <v>99</v>
      </c>
      <c r="R41" s="60"/>
      <c r="S41" s="60"/>
      <c r="T41" s="60"/>
    </row>
    <row r="42" spans="3:20" ht="12.75">
      <c r="C42" s="46"/>
      <c r="D42" s="59">
        <v>1000</v>
      </c>
      <c r="E42" s="23" t="s">
        <v>100</v>
      </c>
      <c r="R42" s="60"/>
      <c r="S42" s="60"/>
      <c r="T42" s="60"/>
    </row>
    <row r="43" spans="3:20" ht="12.75">
      <c r="C43" s="46"/>
      <c r="D43" s="59">
        <v>1550</v>
      </c>
      <c r="E43" s="23" t="s">
        <v>101</v>
      </c>
      <c r="R43" s="60"/>
      <c r="S43" s="60"/>
      <c r="T43" s="60"/>
    </row>
    <row r="44" spans="3:20" ht="12.75">
      <c r="C44" s="46"/>
      <c r="D44" s="59">
        <v>2600</v>
      </c>
      <c r="E44" s="23" t="s">
        <v>102</v>
      </c>
      <c r="H44" s="46"/>
      <c r="R44" s="60"/>
      <c r="S44" s="60"/>
      <c r="T44" s="60"/>
    </row>
    <row r="45" spans="3:20" ht="12.75">
      <c r="C45" s="46"/>
      <c r="D45" s="59">
        <v>9016</v>
      </c>
      <c r="E45" s="23" t="s">
        <v>19</v>
      </c>
      <c r="R45" s="60"/>
      <c r="S45" s="60"/>
      <c r="T45" s="60"/>
    </row>
    <row r="46" spans="3:20" ht="12.75">
      <c r="C46" s="46"/>
      <c r="D46" s="59"/>
      <c r="E46" s="23"/>
      <c r="R46" s="60"/>
      <c r="S46" s="60"/>
      <c r="T46" s="60"/>
    </row>
    <row r="47" spans="3:20" ht="12.75">
      <c r="C47" s="46"/>
      <c r="D47" s="59"/>
      <c r="E47" s="23"/>
      <c r="R47" s="60"/>
      <c r="S47" s="60"/>
      <c r="T47" s="60"/>
    </row>
    <row r="48" spans="1:20" ht="15">
      <c r="A48" s="134" t="s">
        <v>52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</row>
    <row r="49" spans="1:20" ht="12.75">
      <c r="A49" s="135" t="s">
        <v>53</v>
      </c>
      <c r="B49" s="136"/>
      <c r="C49" s="139" t="s">
        <v>3</v>
      </c>
      <c r="D49" s="140"/>
      <c r="E49" s="140"/>
      <c r="F49" s="140"/>
      <c r="G49" s="140"/>
      <c r="H49" s="140"/>
      <c r="I49" s="140"/>
      <c r="J49" s="140"/>
      <c r="K49" s="141"/>
      <c r="L49" s="94" t="s">
        <v>54</v>
      </c>
      <c r="M49" s="95"/>
      <c r="N49" s="96"/>
      <c r="O49" s="100" t="s">
        <v>55</v>
      </c>
      <c r="P49" s="100"/>
      <c r="Q49" s="135" t="s">
        <v>56</v>
      </c>
      <c r="R49" s="136"/>
      <c r="S49" s="53"/>
      <c r="T49" s="100" t="s">
        <v>57</v>
      </c>
    </row>
    <row r="50" spans="1:20" ht="12.75">
      <c r="A50" s="137"/>
      <c r="B50" s="138"/>
      <c r="C50" s="142"/>
      <c r="D50" s="143"/>
      <c r="E50" s="143"/>
      <c r="F50" s="143"/>
      <c r="G50" s="143"/>
      <c r="H50" s="143"/>
      <c r="I50" s="143"/>
      <c r="J50" s="143"/>
      <c r="K50" s="144"/>
      <c r="L50" s="97"/>
      <c r="M50" s="98"/>
      <c r="N50" s="99"/>
      <c r="O50" s="101"/>
      <c r="P50" s="101"/>
      <c r="Q50" s="137"/>
      <c r="R50" s="138"/>
      <c r="S50" s="54"/>
      <c r="T50" s="101"/>
    </row>
    <row r="51" spans="1:20" ht="12.75">
      <c r="A51" s="102"/>
      <c r="B51" s="103"/>
      <c r="C51" s="104" t="s">
        <v>58</v>
      </c>
      <c r="D51" s="105"/>
      <c r="E51" s="105"/>
      <c r="F51" s="105"/>
      <c r="G51" s="105"/>
      <c r="H51" s="105"/>
      <c r="I51" s="105"/>
      <c r="J51" s="105"/>
      <c r="K51" s="106"/>
      <c r="L51" s="107"/>
      <c r="M51" s="108"/>
      <c r="N51" s="109"/>
      <c r="O51" s="4"/>
      <c r="P51" s="4"/>
      <c r="Q51" s="131"/>
      <c r="R51" s="132"/>
      <c r="S51" s="52"/>
      <c r="T51" s="4"/>
    </row>
    <row r="52" spans="1:20" ht="12.75">
      <c r="A52" s="102"/>
      <c r="B52" s="103"/>
      <c r="C52" s="104" t="s">
        <v>59</v>
      </c>
      <c r="D52" s="105"/>
      <c r="E52" s="105"/>
      <c r="F52" s="105"/>
      <c r="G52" s="105"/>
      <c r="H52" s="105"/>
      <c r="I52" s="105"/>
      <c r="J52" s="105"/>
      <c r="K52" s="106"/>
      <c r="L52" s="110" t="s">
        <v>74</v>
      </c>
      <c r="M52" s="111"/>
      <c r="N52" s="112"/>
      <c r="O52" s="19">
        <v>0.05</v>
      </c>
      <c r="P52" s="20"/>
      <c r="Q52" s="113">
        <f>SUM(O52*2002.5*12)</f>
        <v>1201.5</v>
      </c>
      <c r="R52" s="62"/>
      <c r="S52" s="50"/>
      <c r="T52" s="19"/>
    </row>
    <row r="53" spans="1:20" ht="12.75">
      <c r="A53" s="102"/>
      <c r="B53" s="103"/>
      <c r="C53" s="104" t="s">
        <v>60</v>
      </c>
      <c r="D53" s="105"/>
      <c r="E53" s="105"/>
      <c r="F53" s="105"/>
      <c r="G53" s="105"/>
      <c r="H53" s="105"/>
      <c r="I53" s="105"/>
      <c r="J53" s="105"/>
      <c r="K53" s="106"/>
      <c r="L53" s="110" t="s">
        <v>74</v>
      </c>
      <c r="M53" s="111"/>
      <c r="N53" s="112"/>
      <c r="O53" s="19">
        <v>0.05</v>
      </c>
      <c r="P53" s="20"/>
      <c r="Q53" s="113">
        <f aca="true" t="shared" si="7" ref="Q53:Q58">SUM(O53*2002.5*12)</f>
        <v>1201.5</v>
      </c>
      <c r="R53" s="62"/>
      <c r="S53" s="50"/>
      <c r="T53" s="19"/>
    </row>
    <row r="54" spans="1:20" ht="12.75">
      <c r="A54" s="102"/>
      <c r="B54" s="103"/>
      <c r="C54" s="104" t="s">
        <v>61</v>
      </c>
      <c r="D54" s="105"/>
      <c r="E54" s="105"/>
      <c r="F54" s="105"/>
      <c r="G54" s="105"/>
      <c r="H54" s="105"/>
      <c r="I54" s="105"/>
      <c r="J54" s="105"/>
      <c r="K54" s="106"/>
      <c r="L54" s="110" t="s">
        <v>62</v>
      </c>
      <c r="M54" s="111"/>
      <c r="N54" s="112"/>
      <c r="O54" s="19">
        <v>0.15</v>
      </c>
      <c r="P54" s="20"/>
      <c r="Q54" s="113">
        <f t="shared" si="7"/>
        <v>3604.5</v>
      </c>
      <c r="R54" s="62"/>
      <c r="S54" s="50"/>
      <c r="T54" s="19"/>
    </row>
    <row r="55" spans="1:20" ht="12.75">
      <c r="A55" s="113"/>
      <c r="B55" s="62"/>
      <c r="C55" s="114" t="s">
        <v>63</v>
      </c>
      <c r="D55" s="115"/>
      <c r="E55" s="115"/>
      <c r="F55" s="115"/>
      <c r="G55" s="115"/>
      <c r="H55" s="115"/>
      <c r="I55" s="115"/>
      <c r="J55" s="115"/>
      <c r="K55" s="116"/>
      <c r="L55" s="110" t="s">
        <v>74</v>
      </c>
      <c r="M55" s="111"/>
      <c r="N55" s="112"/>
      <c r="O55" s="1">
        <v>0.15</v>
      </c>
      <c r="P55" s="1"/>
      <c r="Q55" s="113">
        <f t="shared" si="7"/>
        <v>3604.5</v>
      </c>
      <c r="R55" s="62"/>
      <c r="S55" s="50"/>
      <c r="T55" s="1"/>
    </row>
    <row r="56" spans="1:20" ht="12.75">
      <c r="A56" s="113"/>
      <c r="B56" s="62"/>
      <c r="C56" s="117" t="s">
        <v>64</v>
      </c>
      <c r="D56" s="118"/>
      <c r="E56" s="118"/>
      <c r="F56" s="118"/>
      <c r="G56" s="118"/>
      <c r="H56" s="118"/>
      <c r="I56" s="118"/>
      <c r="J56" s="118"/>
      <c r="K56" s="119"/>
      <c r="L56" s="120" t="s">
        <v>65</v>
      </c>
      <c r="M56" s="121"/>
      <c r="N56" s="122"/>
      <c r="O56" s="1">
        <v>0.25</v>
      </c>
      <c r="P56" s="1"/>
      <c r="Q56" s="113">
        <f t="shared" si="7"/>
        <v>6007.5</v>
      </c>
      <c r="R56" s="62"/>
      <c r="S56" s="50"/>
      <c r="T56" s="1"/>
    </row>
    <row r="57" spans="1:20" ht="12.75">
      <c r="A57" s="113"/>
      <c r="B57" s="62"/>
      <c r="C57" s="117" t="s">
        <v>66</v>
      </c>
      <c r="D57" s="118"/>
      <c r="E57" s="118"/>
      <c r="F57" s="118"/>
      <c r="G57" s="118"/>
      <c r="H57" s="118"/>
      <c r="I57" s="118"/>
      <c r="J57" s="118"/>
      <c r="K57" s="119"/>
      <c r="L57" s="120" t="s">
        <v>65</v>
      </c>
      <c r="M57" s="121"/>
      <c r="N57" s="122"/>
      <c r="O57" s="1">
        <v>0.1</v>
      </c>
      <c r="P57" s="21"/>
      <c r="Q57" s="113">
        <f t="shared" si="7"/>
        <v>2403</v>
      </c>
      <c r="R57" s="62"/>
      <c r="S57" s="50"/>
      <c r="T57" s="1"/>
    </row>
    <row r="58" spans="1:20" ht="12.75">
      <c r="A58" s="113"/>
      <c r="B58" s="62"/>
      <c r="C58" s="114" t="s">
        <v>67</v>
      </c>
      <c r="D58" s="115"/>
      <c r="E58" s="115"/>
      <c r="F58" s="115"/>
      <c r="G58" s="115"/>
      <c r="H58" s="115"/>
      <c r="I58" s="115"/>
      <c r="J58" s="115"/>
      <c r="K58" s="116"/>
      <c r="L58" s="120" t="s">
        <v>65</v>
      </c>
      <c r="M58" s="121"/>
      <c r="N58" s="122"/>
      <c r="O58" s="1">
        <v>0.25</v>
      </c>
      <c r="P58" s="1"/>
      <c r="Q58" s="113">
        <f t="shared" si="7"/>
        <v>6007.5</v>
      </c>
      <c r="R58" s="62"/>
      <c r="S58" s="50"/>
      <c r="T58" s="1"/>
    </row>
    <row r="59" spans="5:20" ht="12.75">
      <c r="E59" s="47" t="s">
        <v>17</v>
      </c>
      <c r="F59" s="48"/>
      <c r="G59" s="48"/>
      <c r="H59" s="48"/>
      <c r="I59" s="48"/>
      <c r="J59" s="48"/>
      <c r="K59" s="48"/>
      <c r="L59" s="48"/>
      <c r="M59" s="48"/>
      <c r="N59" s="48"/>
      <c r="O59" s="2">
        <f>SUM(O52:O58)</f>
        <v>1</v>
      </c>
      <c r="P59" s="49"/>
      <c r="Q59" s="113">
        <f>SUM(Q52:Q58)</f>
        <v>24030</v>
      </c>
      <c r="R59" s="62"/>
      <c r="S59" s="50"/>
      <c r="T59" s="1"/>
    </row>
  </sheetData>
  <sheetProtection/>
  <mergeCells count="97">
    <mergeCell ref="C37:D37"/>
    <mergeCell ref="A1:T1"/>
    <mergeCell ref="A2:T2"/>
    <mergeCell ref="A3:E3"/>
    <mergeCell ref="F3:R3"/>
    <mergeCell ref="B4:E4"/>
    <mergeCell ref="N5:O5"/>
    <mergeCell ref="H5:H6"/>
    <mergeCell ref="G5:G6"/>
    <mergeCell ref="F4:O4"/>
    <mergeCell ref="P4:Q5"/>
    <mergeCell ref="C30:D30"/>
    <mergeCell ref="C31:D31"/>
    <mergeCell ref="C32:D32"/>
    <mergeCell ref="C33:D33"/>
    <mergeCell ref="B19:C19"/>
    <mergeCell ref="F5:F6"/>
    <mergeCell ref="B18:C18"/>
    <mergeCell ref="B8:D8"/>
    <mergeCell ref="B9:D9"/>
    <mergeCell ref="E5:E6"/>
    <mergeCell ref="P10:Q10"/>
    <mergeCell ref="A11:E11"/>
    <mergeCell ref="A12:E12"/>
    <mergeCell ref="F12:T12"/>
    <mergeCell ref="B14:C14"/>
    <mergeCell ref="R4:R6"/>
    <mergeCell ref="T4:T6"/>
    <mergeCell ref="J5:J6"/>
    <mergeCell ref="K5:K6"/>
    <mergeCell ref="L5:L6"/>
    <mergeCell ref="B24:C24"/>
    <mergeCell ref="B25:C25"/>
    <mergeCell ref="B21:C21"/>
    <mergeCell ref="F10:O10"/>
    <mergeCell ref="B16:C16"/>
    <mergeCell ref="B17:C17"/>
    <mergeCell ref="B15:C15"/>
    <mergeCell ref="I5:I6"/>
    <mergeCell ref="M5:M6"/>
    <mergeCell ref="B26:C26"/>
    <mergeCell ref="B27:C27"/>
    <mergeCell ref="B28:C28"/>
    <mergeCell ref="B22:C22"/>
    <mergeCell ref="B23:C23"/>
    <mergeCell ref="B5:B6"/>
    <mergeCell ref="C5:C6"/>
    <mergeCell ref="A10:D10"/>
    <mergeCell ref="D5:D6"/>
    <mergeCell ref="R29:T29"/>
    <mergeCell ref="R39:T39"/>
    <mergeCell ref="A48:T48"/>
    <mergeCell ref="A49:B50"/>
    <mergeCell ref="C49:K50"/>
    <mergeCell ref="L49:N50"/>
    <mergeCell ref="O49:O50"/>
    <mergeCell ref="P49:P50"/>
    <mergeCell ref="Q49:R50"/>
    <mergeCell ref="T49:T50"/>
    <mergeCell ref="A51:B51"/>
    <mergeCell ref="C51:K51"/>
    <mergeCell ref="L51:N51"/>
    <mergeCell ref="Q51:R51"/>
    <mergeCell ref="A52:B52"/>
    <mergeCell ref="C52:K52"/>
    <mergeCell ref="L52:N52"/>
    <mergeCell ref="Q52:R52"/>
    <mergeCell ref="L56:N56"/>
    <mergeCell ref="Q56:R56"/>
    <mergeCell ref="A53:B53"/>
    <mergeCell ref="C53:K53"/>
    <mergeCell ref="L53:N53"/>
    <mergeCell ref="Q53:R53"/>
    <mergeCell ref="A54:B54"/>
    <mergeCell ref="C54:K54"/>
    <mergeCell ref="L54:N54"/>
    <mergeCell ref="Q54:R54"/>
    <mergeCell ref="A58:B58"/>
    <mergeCell ref="C58:K58"/>
    <mergeCell ref="L58:N58"/>
    <mergeCell ref="Q58:R58"/>
    <mergeCell ref="A55:B55"/>
    <mergeCell ref="C55:K55"/>
    <mergeCell ref="L55:N55"/>
    <mergeCell ref="Q55:R55"/>
    <mergeCell ref="A56:B56"/>
    <mergeCell ref="C56:K56"/>
    <mergeCell ref="C35:D35"/>
    <mergeCell ref="C34:D34"/>
    <mergeCell ref="B20:C20"/>
    <mergeCell ref="S4:S6"/>
    <mergeCell ref="Q59:R59"/>
    <mergeCell ref="A13:D13"/>
    <mergeCell ref="A57:B57"/>
    <mergeCell ref="C57:K57"/>
    <mergeCell ref="L57:N57"/>
    <mergeCell ref="Q57:R57"/>
  </mergeCells>
  <printOptions/>
  <pageMargins left="0.0625" right="0.052083333333333336" top="0.020833333333333332" bottom="0.010416666666666666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2018-02-05T06:21:32Z</cp:lastPrinted>
  <dcterms:created xsi:type="dcterms:W3CDTF">2012-12-17T06:03:29Z</dcterms:created>
  <dcterms:modified xsi:type="dcterms:W3CDTF">2018-03-06T06:26:23Z</dcterms:modified>
  <cp:category/>
  <cp:version/>
  <cp:contentType/>
  <cp:contentStatus/>
</cp:coreProperties>
</file>