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585" windowWidth="15120" windowHeight="7530"/>
  </bookViews>
  <sheets>
    <sheet name="2018" sheetId="8" r:id="rId1"/>
  </sheets>
  <definedNames>
    <definedName name="_xlnm.Print_Area" localSheetId="0">'2018'!$B$35:$R$48</definedName>
  </definedNames>
  <calcPr calcId="162913" refMode="R1C1"/>
</workbook>
</file>

<file path=xl/calcChain.xml><?xml version="1.0" encoding="utf-8"?>
<calcChain xmlns="http://schemas.openxmlformats.org/spreadsheetml/2006/main">
  <c r="N13" i="8" l="1"/>
  <c r="N28" i="8" l="1"/>
  <c r="O48" i="8"/>
  <c r="D32" i="8" l="1"/>
  <c r="D31" i="8" l="1"/>
  <c r="O28" i="8" l="1"/>
  <c r="T28" i="8" l="1"/>
  <c r="S33" i="8"/>
  <c r="L33" i="8"/>
  <c r="I33" i="8"/>
  <c r="G33" i="8"/>
  <c r="B33" i="8"/>
  <c r="N27" i="8" l="1"/>
  <c r="P27" i="8"/>
  <c r="T27" i="8" s="1"/>
  <c r="D30" i="8"/>
  <c r="P26" i="8" l="1"/>
  <c r="N26" i="8" l="1"/>
  <c r="T26" i="8" l="1"/>
  <c r="T11" i="8" l="1"/>
  <c r="O25" i="8" l="1"/>
  <c r="N25" i="8" l="1"/>
  <c r="P25" i="8" l="1"/>
  <c r="T25" i="8" l="1"/>
  <c r="N24" i="8" l="1"/>
  <c r="P24" i="8" l="1"/>
  <c r="T24" i="8" l="1"/>
  <c r="N23" i="8" l="1"/>
  <c r="O23" i="8" l="1"/>
  <c r="O33" i="8" s="1"/>
  <c r="P23" i="8" l="1"/>
  <c r="T23" i="8" l="1"/>
  <c r="T10" i="8" l="1"/>
  <c r="P22" i="8" l="1"/>
  <c r="P33" i="8" s="1"/>
  <c r="N22" i="8" l="1"/>
  <c r="T22" i="8" l="1"/>
  <c r="Q21" i="8" l="1"/>
  <c r="Q33" i="8" s="1"/>
  <c r="N21" i="8" l="1"/>
  <c r="T21" i="8" l="1"/>
  <c r="N20" i="8" l="1"/>
  <c r="T20" i="8" l="1"/>
  <c r="N19" i="8" l="1"/>
  <c r="T19" i="8" l="1"/>
  <c r="N18" i="8" l="1"/>
  <c r="N17" i="8" l="1"/>
  <c r="N33" i="8" s="1"/>
  <c r="T18" i="8" l="1"/>
  <c r="D17" i="8" l="1"/>
  <c r="D33" i="8" s="1"/>
  <c r="R17" i="8" l="1"/>
  <c r="R33" i="8" s="1"/>
  <c r="M17" i="8"/>
  <c r="M33" i="8" s="1"/>
  <c r="J17" i="8"/>
  <c r="J33" i="8" s="1"/>
  <c r="H17" i="8"/>
  <c r="H33" i="8" s="1"/>
  <c r="F17" i="8"/>
  <c r="F33" i="8" s="1"/>
  <c r="R13" i="8"/>
  <c r="Q13" i="8"/>
  <c r="P13" i="8"/>
  <c r="O13" i="8"/>
  <c r="M13" i="8"/>
  <c r="L13" i="8"/>
  <c r="K13" i="8"/>
  <c r="J13" i="8"/>
  <c r="I13" i="8"/>
  <c r="H13" i="8"/>
  <c r="G13" i="8"/>
  <c r="F13" i="8"/>
  <c r="T9" i="8"/>
  <c r="T8" i="8"/>
  <c r="T7" i="8"/>
  <c r="E7" i="8"/>
  <c r="T13" i="8" l="1"/>
  <c r="T17" i="8"/>
  <c r="T33" i="8" s="1"/>
  <c r="R34" i="8" l="1"/>
</calcChain>
</file>

<file path=xl/comments1.xml><?xml version="1.0" encoding="utf-8"?>
<comments xmlns="http://schemas.openxmlformats.org/spreadsheetml/2006/main">
  <authors>
    <author>Автор</author>
  </authors>
  <commentLis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13718-покос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933-чистящее+моющее+ведро,перчатки и т.д.
1000-спил ветки
500-запрос в сбербанк по кап.рем.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1000р-ремонт поручней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1950-погрузка и вывоз мусора
16000-утепление и обесшумливание дверей
4500-(1000-демонтаж и монтаж окон 1п., 3500-щебенка)
2046,54--тех.обслуживание ОДГО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1800-составление реестра собственников
8125-погрузка и вывоз мусора</t>
        </r>
      </text>
    </comment>
  </commentList>
</comments>
</file>

<file path=xl/sharedStrings.xml><?xml version="1.0" encoding="utf-8"?>
<sst xmlns="http://schemas.openxmlformats.org/spreadsheetml/2006/main" count="122" uniqueCount="75">
  <si>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</si>
  <si>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</si>
  <si>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</si>
  <si>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</si>
  <si>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</si>
  <si>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</si>
  <si>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</si>
  <si>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</si>
  <si>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</si>
  <si>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</si>
  <si>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</si>
  <si>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</si>
  <si>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</si>
  <si>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</si>
  <si>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</si>
  <si>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</si>
  <si>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</si>
  <si>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</si>
  <si>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</si>
  <si>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</si>
  <si>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</si>
  <si>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</si>
  <si>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</si>
  <si>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</si>
  <si>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</si>
  <si>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</si>
  <si>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</si>
  <si>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</si>
  <si>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</si>
  <si>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</si>
  <si>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</si>
  <si>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</si>
  <si>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</si>
  <si>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</si>
  <si>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</si>
  <si>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</si>
  <si>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</si>
  <si>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</si>
  <si>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</si>
  <si>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</si>
  <si>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</si>
  <si>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</si>
  <si>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</si>
  <si>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</si>
  <si>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</si>
  <si>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</si>
  <si>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</si>
  <si>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</si>
  <si>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</si>
  <si>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</si>
  <si>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</si>
  <si>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</si>
  <si>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</si>
  <si>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</si>
  <si>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</si>
  <si>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</si>
  <si>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</si>
  <si>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</si>
  <si>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</si>
  <si>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</si>
  <si>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</si>
  <si>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Бабенко</t>
  </si>
  <si>
    <t>услуги сторонних организаций, разовые работы</t>
  </si>
  <si>
    <t>Информация о доходах и расходах по дому __Калинина 131/1__на 2018год.</t>
  </si>
  <si>
    <t>х/в</t>
  </si>
  <si>
    <t>эл-во</t>
  </si>
  <si>
    <t>чистящее+моющее+ведро,перчатки и т.д.</t>
  </si>
  <si>
    <t>спил ветки</t>
  </si>
  <si>
    <t>запрос в сбербанк по кап.рем.</t>
  </si>
  <si>
    <t>ремонт поручней</t>
  </si>
  <si>
    <t>погрузка и вывоз мусора</t>
  </si>
  <si>
    <t>утепление и обесшумливание дверей</t>
  </si>
  <si>
    <t>(1000-демонтаж и монтаж окон 1п., 3500-щебенка)</t>
  </si>
  <si>
    <t>эл-во доначисление за январь 2017г.</t>
  </si>
  <si>
    <t>составление реестра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</si>
</sst>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&quot;р.&quot;_-;\-* #,##0&quot;р.&quot;_-;_-* &quot;-&quot;&quot;р.&quot;_-;_-@_-"/>
    <numFmt numFmtId="165" formatCode="#,##0.00_р_."/>
    <numFmt numFmtId="170" formatCode="#,##0&quot;р.&quot;"/>
    <numFmt numFmtId="171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2" fontId="0" fillId="0" borderId="0" xfId="0" applyNumberFormat="1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 applyFill="1" applyBorder="1"/>
    <xf numFmtId="165" fontId="5" fillId="0" borderId="0" xfId="0" applyNumberFormat="1" applyFont="1" applyFill="1" applyBorder="1"/>
    <xf numFmtId="165" fontId="2" fillId="4" borderId="1" xfId="0" applyNumberFormat="1" applyFont="1" applyFill="1" applyBorder="1"/>
    <xf numFmtId="2" fontId="2" fillId="0" borderId="8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/>
    <xf numFmtId="165" fontId="6" fillId="2" borderId="1" xfId="0" applyNumberFormat="1" applyFont="1" applyFill="1" applyBorder="1"/>
    <xf numFmtId="4" fontId="7" fillId="2" borderId="1" xfId="0" applyNumberFormat="1" applyFont="1" applyFill="1" applyBorder="1"/>
    <xf numFmtId="0" fontId="1" fillId="6" borderId="1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2" fontId="2" fillId="6" borderId="8" xfId="0" applyNumberFormat="1" applyFont="1" applyFill="1" applyBorder="1" applyAlignment="1">
      <alignment horizontal="right" vertical="top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2" fillId="4" borderId="1" xfId="0" applyNumberFormat="1" applyFont="1" applyFill="1" applyBorder="1" applyAlignment="1"/>
    <xf numFmtId="164" fontId="0" fillId="0" borderId="0" xfId="0" applyNumberFormat="1"/>
    <xf numFmtId="171" fontId="2" fillId="0" borderId="0" xfId="0" applyNumberFormat="1" applyFont="1" applyFill="1" applyBorder="1"/>
    <xf numFmtId="4" fontId="2" fillId="6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2" fontId="2" fillId="0" borderId="8" xfId="0" applyNumberFormat="1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 applyFill="1" applyBorder="1"/>
    <xf numFmtId="165" fontId="6" fillId="7" borderId="1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0" fontId="9" fillId="0" borderId="5" xfId="0" applyFont="1" applyBorder="1" applyAlignment="1">
      <alignment horizontal="center"/>
    </xf>
    <xf numFmtId="2" fontId="2" fillId="9" borderId="3" xfId="0" applyNumberFormat="1" applyFont="1" applyFill="1" applyBorder="1" applyAlignment="1">
      <alignment horizontal="center" vertical="top" wrapText="1"/>
    </xf>
    <xf numFmtId="0" fontId="1" fillId="6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5" fontId="2" fillId="9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" fillId="9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6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5" fillId="0" borderId="2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9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5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49"/>
  <sheetViews>
    <sheetView tabSelected="1" zoomScaleNormal="100" workbookViewId="0">
      <selection activeCell="F14" sqref="F14:T14"/>
    </sheetView>
  </sheetViews>
  <sheetFormatPr defaultRowHeight="15" x14ac:dyDescent="0.25"/>
  <cols>
    <col min="1" max="1" width="5.42578125" customWidth="1"/>
    <col min="2" max="2" width="5.28515625" customWidth="1"/>
    <col min="3" max="3" width="6.140625" customWidth="1"/>
    <col min="4" max="4" width="9.7109375" customWidth="1"/>
    <col min="5" max="6" width="9.140625" customWidth="1"/>
    <col min="7" max="7" width="9" customWidth="1"/>
    <col min="9" max="9" width="9.140625" customWidth="1"/>
    <col min="10" max="10" width="9.5703125" customWidth="1"/>
    <col min="11" max="11" width="9" hidden="1" customWidth="1"/>
    <col min="12" max="12" width="8.85546875" customWidth="1"/>
    <col min="14" max="14" width="10" bestFit="1" customWidth="1"/>
    <col min="16" max="16" width="8.85546875" customWidth="1"/>
    <col min="17" max="17" width="9.85546875" bestFit="1" customWidth="1"/>
    <col min="18" max="19" width="9" customWidth="1"/>
    <col min="21" max="21" width="9" customWidth="1"/>
  </cols>
  <sheetData>
    <row r="1" spans="1:21" ht="15.75" customHeight="1" x14ac:dyDescent="0.25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1" hidden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1" ht="0.75" customHeight="1" x14ac:dyDescent="0.25">
      <c r="A3" s="98"/>
      <c r="B3" s="99"/>
      <c r="C3" s="99"/>
      <c r="D3" s="99"/>
      <c r="E3" s="100"/>
      <c r="F3" s="101" t="s">
        <v>19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S3" s="45"/>
      <c r="T3" s="31"/>
    </row>
    <row r="4" spans="1:21" ht="15" customHeight="1" x14ac:dyDescent="0.25">
      <c r="A4" s="32"/>
      <c r="B4" s="72" t="s">
        <v>20</v>
      </c>
      <c r="C4" s="73"/>
      <c r="D4" s="73"/>
      <c r="E4" s="74"/>
      <c r="F4" s="104" t="s">
        <v>0</v>
      </c>
      <c r="G4" s="105"/>
      <c r="H4" s="105"/>
      <c r="I4" s="105"/>
      <c r="J4" s="105"/>
      <c r="K4" s="105"/>
      <c r="L4" s="105"/>
      <c r="M4" s="105"/>
      <c r="N4" s="105"/>
      <c r="O4" s="105"/>
      <c r="P4" s="86" t="s">
        <v>21</v>
      </c>
      <c r="Q4" s="87"/>
      <c r="R4" s="90" t="s">
        <v>22</v>
      </c>
      <c r="S4" s="108" t="s">
        <v>59</v>
      </c>
      <c r="T4" s="93" t="s">
        <v>4</v>
      </c>
    </row>
    <row r="5" spans="1:21" x14ac:dyDescent="0.25">
      <c r="A5" s="33"/>
      <c r="B5" s="75" t="s">
        <v>23</v>
      </c>
      <c r="C5" s="75" t="s">
        <v>2</v>
      </c>
      <c r="D5" s="75" t="s">
        <v>55</v>
      </c>
      <c r="E5" s="106" t="s">
        <v>1</v>
      </c>
      <c r="F5" s="84" t="s">
        <v>24</v>
      </c>
      <c r="G5" s="84" t="s">
        <v>25</v>
      </c>
      <c r="H5" s="84" t="s">
        <v>26</v>
      </c>
      <c r="I5" s="84" t="s">
        <v>27</v>
      </c>
      <c r="J5" s="84" t="s">
        <v>28</v>
      </c>
      <c r="K5" s="84" t="s">
        <v>29</v>
      </c>
      <c r="L5" s="84" t="s">
        <v>30</v>
      </c>
      <c r="M5" s="84" t="s">
        <v>31</v>
      </c>
      <c r="N5" s="79" t="s">
        <v>32</v>
      </c>
      <c r="O5" s="81"/>
      <c r="P5" s="88"/>
      <c r="Q5" s="89"/>
      <c r="R5" s="91"/>
      <c r="S5" s="109"/>
      <c r="T5" s="94"/>
    </row>
    <row r="6" spans="1:21" ht="90.75" customHeight="1" x14ac:dyDescent="0.25">
      <c r="A6" s="3"/>
      <c r="B6" s="76"/>
      <c r="C6" s="76"/>
      <c r="D6" s="76"/>
      <c r="E6" s="107"/>
      <c r="F6" s="85"/>
      <c r="G6" s="85"/>
      <c r="H6" s="85"/>
      <c r="I6" s="85"/>
      <c r="J6" s="85"/>
      <c r="K6" s="85"/>
      <c r="L6" s="85"/>
      <c r="M6" s="85"/>
      <c r="N6" s="23" t="s">
        <v>56</v>
      </c>
      <c r="O6" s="23" t="s">
        <v>62</v>
      </c>
      <c r="P6" s="44" t="s">
        <v>33</v>
      </c>
      <c r="Q6" s="44" t="s">
        <v>34</v>
      </c>
      <c r="R6" s="92"/>
      <c r="S6" s="110"/>
      <c r="T6" s="95"/>
    </row>
    <row r="7" spans="1:21" x14ac:dyDescent="0.25">
      <c r="A7" s="19">
        <v>2016</v>
      </c>
      <c r="B7" s="34">
        <v>10</v>
      </c>
      <c r="C7" s="34">
        <v>4.5</v>
      </c>
      <c r="D7" s="34">
        <v>1.5</v>
      </c>
      <c r="E7" s="30">
        <f>SUM(B7:D7)</f>
        <v>16</v>
      </c>
      <c r="F7" s="15">
        <v>1.1000000000000001</v>
      </c>
      <c r="G7" s="15">
        <v>1.6</v>
      </c>
      <c r="H7" s="15">
        <v>1</v>
      </c>
      <c r="I7" s="15">
        <v>0.25</v>
      </c>
      <c r="J7" s="15">
        <v>1.4</v>
      </c>
      <c r="K7" s="15">
        <v>0</v>
      </c>
      <c r="L7" s="15">
        <v>1.1000000000000001</v>
      </c>
      <c r="M7" s="15">
        <v>1.55</v>
      </c>
      <c r="N7" s="24">
        <v>0</v>
      </c>
      <c r="O7" s="24">
        <v>2</v>
      </c>
      <c r="P7" s="21">
        <v>2.25</v>
      </c>
      <c r="Q7" s="21">
        <v>2.25</v>
      </c>
      <c r="R7" s="22">
        <v>1.5</v>
      </c>
      <c r="S7" s="22">
        <v>0</v>
      </c>
      <c r="T7" s="4">
        <f>SUM(F7:R7)</f>
        <v>16</v>
      </c>
    </row>
    <row r="8" spans="1:21" x14ac:dyDescent="0.25">
      <c r="A8" s="19">
        <v>2017</v>
      </c>
      <c r="B8" s="113" t="s">
        <v>57</v>
      </c>
      <c r="C8" s="114"/>
      <c r="D8" s="115"/>
      <c r="E8" s="30">
        <v>17.98</v>
      </c>
      <c r="F8" s="15">
        <v>1.1000000000000001</v>
      </c>
      <c r="G8" s="15">
        <v>1.6</v>
      </c>
      <c r="H8" s="15">
        <v>1</v>
      </c>
      <c r="I8" s="15">
        <v>0.25</v>
      </c>
      <c r="J8" s="15">
        <v>1.4</v>
      </c>
      <c r="K8" s="15">
        <v>0</v>
      </c>
      <c r="L8" s="15">
        <v>1.1000000000000001</v>
      </c>
      <c r="M8" s="15">
        <v>1.55</v>
      </c>
      <c r="N8" s="24">
        <v>1.98</v>
      </c>
      <c r="O8" s="24">
        <v>2</v>
      </c>
      <c r="P8" s="21">
        <v>2.25</v>
      </c>
      <c r="Q8" s="21">
        <v>2.25</v>
      </c>
      <c r="R8" s="22">
        <v>1.5</v>
      </c>
      <c r="S8" s="22">
        <v>0</v>
      </c>
      <c r="T8" s="4">
        <f>SUM(F8:R8)</f>
        <v>17.979999999999997</v>
      </c>
    </row>
    <row r="9" spans="1:21" x14ac:dyDescent="0.25">
      <c r="A9" s="19">
        <v>2017</v>
      </c>
      <c r="B9" s="113" t="s">
        <v>58</v>
      </c>
      <c r="C9" s="114"/>
      <c r="D9" s="115"/>
      <c r="E9" s="30">
        <v>20.77</v>
      </c>
      <c r="F9" s="15">
        <v>1.1000000000000001</v>
      </c>
      <c r="G9" s="15">
        <v>1.6</v>
      </c>
      <c r="H9" s="15">
        <v>1</v>
      </c>
      <c r="I9" s="15">
        <v>0.25</v>
      </c>
      <c r="J9" s="15">
        <v>1.4</v>
      </c>
      <c r="K9" s="15">
        <v>0</v>
      </c>
      <c r="L9" s="15">
        <v>1.1000000000000001</v>
      </c>
      <c r="M9" s="15">
        <v>1.55</v>
      </c>
      <c r="N9" s="24">
        <v>4.7699999999999996</v>
      </c>
      <c r="O9" s="24">
        <v>2</v>
      </c>
      <c r="P9" s="21">
        <v>2.25</v>
      </c>
      <c r="Q9" s="21">
        <v>2.25</v>
      </c>
      <c r="R9" s="22">
        <v>1.5</v>
      </c>
      <c r="S9" s="22">
        <v>0</v>
      </c>
      <c r="T9" s="4">
        <f>SUM(F9:S9)</f>
        <v>20.77</v>
      </c>
    </row>
    <row r="10" spans="1:21" x14ac:dyDescent="0.25">
      <c r="A10" s="47">
        <v>2018</v>
      </c>
      <c r="B10" s="114" t="s">
        <v>57</v>
      </c>
      <c r="C10" s="114"/>
      <c r="D10" s="115"/>
      <c r="E10" s="30">
        <v>19.649999999999999</v>
      </c>
      <c r="F10" s="50">
        <v>1.1000000000000001</v>
      </c>
      <c r="G10" s="50">
        <v>1.6</v>
      </c>
      <c r="H10" s="50">
        <v>1</v>
      </c>
      <c r="I10" s="50">
        <v>0.25</v>
      </c>
      <c r="J10" s="50">
        <v>1.4</v>
      </c>
      <c r="K10" s="50">
        <v>0</v>
      </c>
      <c r="L10" s="50">
        <v>1.1000000000000001</v>
      </c>
      <c r="M10" s="50">
        <v>1.55</v>
      </c>
      <c r="N10" s="51">
        <v>3.65</v>
      </c>
      <c r="O10" s="51">
        <v>2</v>
      </c>
      <c r="P10" s="48">
        <v>2.25</v>
      </c>
      <c r="Q10" s="49">
        <v>2.25</v>
      </c>
      <c r="R10" s="22">
        <v>1.5</v>
      </c>
      <c r="S10" s="22">
        <v>0</v>
      </c>
      <c r="T10" s="4">
        <f>SUM(F10:S10)</f>
        <v>19.649999999999999</v>
      </c>
    </row>
    <row r="11" spans="1:21" x14ac:dyDescent="0.25">
      <c r="A11" s="47">
        <v>2018</v>
      </c>
      <c r="B11" s="114" t="s">
        <v>58</v>
      </c>
      <c r="C11" s="114"/>
      <c r="D11" s="115"/>
      <c r="E11" s="30">
        <v>21.19</v>
      </c>
      <c r="F11" s="50">
        <v>1.1000000000000001</v>
      </c>
      <c r="G11" s="50">
        <v>1.6</v>
      </c>
      <c r="H11" s="50">
        <v>1</v>
      </c>
      <c r="I11" s="50">
        <v>0.25</v>
      </c>
      <c r="J11" s="50">
        <v>1.4</v>
      </c>
      <c r="K11" s="50">
        <v>0</v>
      </c>
      <c r="L11" s="50">
        <v>1.1000000000000001</v>
      </c>
      <c r="M11" s="50">
        <v>1.55</v>
      </c>
      <c r="N11" s="51">
        <v>5.19</v>
      </c>
      <c r="O11" s="51">
        <v>2</v>
      </c>
      <c r="P11" s="21">
        <v>2.25</v>
      </c>
      <c r="Q11" s="21">
        <v>2.25</v>
      </c>
      <c r="R11" s="22">
        <v>1.5</v>
      </c>
      <c r="S11" s="22">
        <v>0</v>
      </c>
      <c r="T11" s="4">
        <f>SUM(F11:S11)</f>
        <v>21.189999999999998</v>
      </c>
    </row>
    <row r="12" spans="1:21" ht="17.25" customHeight="1" x14ac:dyDescent="0.25">
      <c r="A12" s="116" t="s">
        <v>35</v>
      </c>
      <c r="B12" s="117"/>
      <c r="C12" s="117"/>
      <c r="D12" s="118"/>
      <c r="E12" s="30">
        <v>6589.2</v>
      </c>
      <c r="F12" s="79" t="s">
        <v>36</v>
      </c>
      <c r="G12" s="80"/>
      <c r="H12" s="80"/>
      <c r="I12" s="80"/>
      <c r="J12" s="80"/>
      <c r="K12" s="80"/>
      <c r="L12" s="80"/>
      <c r="M12" s="80"/>
      <c r="N12" s="80"/>
      <c r="O12" s="81"/>
      <c r="P12" s="82" t="s">
        <v>37</v>
      </c>
      <c r="Q12" s="83"/>
      <c r="R12" s="4" t="s">
        <v>38</v>
      </c>
      <c r="S12" s="4"/>
      <c r="T12" s="4"/>
    </row>
    <row r="13" spans="1:21" x14ac:dyDescent="0.25">
      <c r="A13" s="124" t="s">
        <v>39</v>
      </c>
      <c r="B13" s="125"/>
      <c r="C13" s="125"/>
      <c r="D13" s="125"/>
      <c r="E13" s="126"/>
      <c r="F13" s="5">
        <f>E12*F7</f>
        <v>7248.1200000000008</v>
      </c>
      <c r="G13" s="5">
        <f>E12*G7</f>
        <v>10542.720000000001</v>
      </c>
      <c r="H13" s="5">
        <f>E12*1</f>
        <v>6589.2</v>
      </c>
      <c r="I13" s="5">
        <f>E12*I8</f>
        <v>1647.3</v>
      </c>
      <c r="J13" s="5">
        <f>E12*J7</f>
        <v>9224.8799999999992</v>
      </c>
      <c r="K13" s="5">
        <f>SUM(K7*2002.5)</f>
        <v>0</v>
      </c>
      <c r="L13" s="5">
        <f>E12*L8</f>
        <v>7248.1200000000008</v>
      </c>
      <c r="M13" s="5">
        <f>E12*M7</f>
        <v>10213.26</v>
      </c>
      <c r="N13" s="5">
        <f>E11*N11</f>
        <v>109.97610000000002</v>
      </c>
      <c r="O13" s="5">
        <f>E12*O8</f>
        <v>13178.4</v>
      </c>
      <c r="P13" s="5">
        <f>E12*P8</f>
        <v>14825.699999999999</v>
      </c>
      <c r="Q13" s="5">
        <f>E12*Q7</f>
        <v>14825.699999999999</v>
      </c>
      <c r="R13" s="5">
        <f>E12*R7</f>
        <v>9883.7999999999993</v>
      </c>
      <c r="S13" s="5">
        <v>0</v>
      </c>
      <c r="T13" s="5">
        <f>SUM(F13:R13)</f>
        <v>105537.1761</v>
      </c>
      <c r="U13" s="1"/>
    </row>
    <row r="14" spans="1:21" x14ac:dyDescent="0.25">
      <c r="A14" s="119" t="s">
        <v>40</v>
      </c>
      <c r="B14" s="119"/>
      <c r="C14" s="119"/>
      <c r="D14" s="119"/>
      <c r="E14" s="120"/>
      <c r="F14" s="121" t="s">
        <v>41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</row>
    <row r="15" spans="1:21" ht="24.75" customHeight="1" x14ac:dyDescent="0.25">
      <c r="A15" s="131" t="s">
        <v>42</v>
      </c>
      <c r="B15" s="131"/>
      <c r="C15" s="131"/>
      <c r="D15" s="132"/>
      <c r="E15" s="6">
        <v>-50210.159999999916</v>
      </c>
      <c r="F15" s="46"/>
      <c r="G15" s="42"/>
      <c r="H15" s="7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1" x14ac:dyDescent="0.25">
      <c r="A16" s="35"/>
      <c r="B16" s="122" t="s">
        <v>54</v>
      </c>
      <c r="C16" s="122"/>
      <c r="D16" s="25" t="s">
        <v>40</v>
      </c>
      <c r="E16" s="26" t="s">
        <v>17</v>
      </c>
      <c r="F16" s="46"/>
      <c r="G16" s="42"/>
      <c r="H16" s="7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1" x14ac:dyDescent="0.25">
      <c r="A17" s="36" t="s">
        <v>43</v>
      </c>
      <c r="B17" s="111">
        <v>118849.49</v>
      </c>
      <c r="C17" s="123"/>
      <c r="D17" s="37">
        <f>79594.43+24875.87+462.83</f>
        <v>104933.12999999999</v>
      </c>
      <c r="E17" s="27"/>
      <c r="F17" s="8">
        <f>E12*F8</f>
        <v>7248.1200000000008</v>
      </c>
      <c r="G17" s="8">
        <v>11389.6</v>
      </c>
      <c r="H17" s="9">
        <f>E12*H8</f>
        <v>6589.2</v>
      </c>
      <c r="I17" s="8">
        <v>2800</v>
      </c>
      <c r="J17" s="8">
        <f>E12*J8</f>
        <v>9224.8799999999992</v>
      </c>
      <c r="K17" s="8">
        <v>0</v>
      </c>
      <c r="L17" s="8">
        <v>6593.4</v>
      </c>
      <c r="M17" s="8">
        <f>E12*M8</f>
        <v>10213.26</v>
      </c>
      <c r="N17" s="8">
        <f>6137.24+7192.13+15315.19</f>
        <v>28644.559999999998</v>
      </c>
      <c r="O17" s="8">
        <v>0</v>
      </c>
      <c r="P17" s="10">
        <v>0</v>
      </c>
      <c r="Q17" s="10">
        <v>0</v>
      </c>
      <c r="R17" s="8">
        <f>E12*R8</f>
        <v>9883.7999999999993</v>
      </c>
      <c r="S17" s="8">
        <v>0</v>
      </c>
      <c r="T17" s="11">
        <f t="shared" ref="T17:T28" si="0">SUM(F17:S17)</f>
        <v>92586.82</v>
      </c>
      <c r="U17" s="2"/>
    </row>
    <row r="18" spans="1:21" x14ac:dyDescent="0.25">
      <c r="A18" s="36" t="s">
        <v>44</v>
      </c>
      <c r="B18" s="111">
        <v>132816.64000000001</v>
      </c>
      <c r="C18" s="112"/>
      <c r="D18" s="37">
        <v>129004.46</v>
      </c>
      <c r="E18" s="27"/>
      <c r="F18" s="8">
        <v>7248.1200000000008</v>
      </c>
      <c r="G18" s="8">
        <v>11389.6</v>
      </c>
      <c r="H18" s="9">
        <v>6589.2</v>
      </c>
      <c r="I18" s="8">
        <v>2800</v>
      </c>
      <c r="J18" s="8">
        <v>9224.8799999999992</v>
      </c>
      <c r="K18" s="8">
        <v>0</v>
      </c>
      <c r="L18" s="8">
        <v>6593.4</v>
      </c>
      <c r="M18" s="8">
        <v>10213.26</v>
      </c>
      <c r="N18" s="8">
        <f>8222.88+5408.28+5053.11</f>
        <v>18684.27</v>
      </c>
      <c r="O18" s="8">
        <v>0</v>
      </c>
      <c r="P18" s="10">
        <v>0</v>
      </c>
      <c r="Q18" s="10">
        <v>19291</v>
      </c>
      <c r="R18" s="8">
        <v>9883.7999999999993</v>
      </c>
      <c r="S18" s="8">
        <v>0</v>
      </c>
      <c r="T18" s="11">
        <f t="shared" si="0"/>
        <v>101917.53000000001</v>
      </c>
      <c r="U18" s="2"/>
    </row>
    <row r="19" spans="1:21" x14ac:dyDescent="0.25">
      <c r="A19" s="36" t="s">
        <v>5</v>
      </c>
      <c r="B19" s="111">
        <v>117935.72</v>
      </c>
      <c r="C19" s="112"/>
      <c r="D19" s="37">
        <v>116628.07</v>
      </c>
      <c r="E19" s="27"/>
      <c r="F19" s="8">
        <v>7248.1200000000008</v>
      </c>
      <c r="G19" s="8">
        <v>11389.6</v>
      </c>
      <c r="H19" s="9">
        <v>6589.2</v>
      </c>
      <c r="I19" s="8">
        <v>2800</v>
      </c>
      <c r="J19" s="8">
        <v>9224.8799999999992</v>
      </c>
      <c r="K19" s="8"/>
      <c r="L19" s="8">
        <v>6593.4</v>
      </c>
      <c r="M19" s="8">
        <v>10213.26</v>
      </c>
      <c r="N19" s="8">
        <f>4376.35+3524.62</f>
        <v>7900.97</v>
      </c>
      <c r="O19" s="8">
        <v>0</v>
      </c>
      <c r="P19" s="10">
        <v>0</v>
      </c>
      <c r="Q19" s="10">
        <v>0</v>
      </c>
      <c r="R19" s="8">
        <v>9883.7999999999993</v>
      </c>
      <c r="S19" s="8">
        <v>0</v>
      </c>
      <c r="T19" s="11">
        <f t="shared" si="0"/>
        <v>71843.23000000001</v>
      </c>
      <c r="U19" s="2"/>
    </row>
    <row r="20" spans="1:21" x14ac:dyDescent="0.25">
      <c r="A20" s="36" t="s">
        <v>45</v>
      </c>
      <c r="B20" s="111">
        <v>112257.52</v>
      </c>
      <c r="C20" s="112"/>
      <c r="D20" s="37">
        <v>122794.03</v>
      </c>
      <c r="E20" s="27"/>
      <c r="F20" s="8">
        <v>7248.1200000000008</v>
      </c>
      <c r="G20" s="8">
        <v>11389.6</v>
      </c>
      <c r="H20" s="9">
        <v>6589.2</v>
      </c>
      <c r="I20" s="8">
        <v>1400</v>
      </c>
      <c r="J20" s="8">
        <v>9224.8799999999992</v>
      </c>
      <c r="K20" s="8"/>
      <c r="L20" s="8">
        <v>6593.4</v>
      </c>
      <c r="M20" s="8">
        <v>10213.26</v>
      </c>
      <c r="N20" s="8">
        <f>20995.06+8681.34+10322.72</f>
        <v>39999.120000000003</v>
      </c>
      <c r="O20" s="8">
        <v>0</v>
      </c>
      <c r="P20" s="10">
        <v>0</v>
      </c>
      <c r="Q20" s="10">
        <v>0</v>
      </c>
      <c r="R20" s="8">
        <v>9883.7999999999993</v>
      </c>
      <c r="S20" s="8">
        <v>0</v>
      </c>
      <c r="T20" s="11">
        <f t="shared" si="0"/>
        <v>102541.38000000002</v>
      </c>
      <c r="U20" s="2"/>
    </row>
    <row r="21" spans="1:21" x14ac:dyDescent="0.25">
      <c r="A21" s="36" t="s">
        <v>8</v>
      </c>
      <c r="B21" s="111">
        <v>122177.93</v>
      </c>
      <c r="C21" s="112"/>
      <c r="D21" s="37">
        <v>104655.70999999999</v>
      </c>
      <c r="E21" s="27"/>
      <c r="F21" s="8">
        <v>7248.1200000000008</v>
      </c>
      <c r="G21" s="8">
        <v>11389.6</v>
      </c>
      <c r="H21" s="9">
        <v>6589.2</v>
      </c>
      <c r="I21" s="8">
        <v>0</v>
      </c>
      <c r="J21" s="8">
        <v>9224.8799999999992</v>
      </c>
      <c r="K21" s="8"/>
      <c r="L21" s="8">
        <v>6593.4</v>
      </c>
      <c r="M21" s="8">
        <v>10213.26</v>
      </c>
      <c r="N21" s="8">
        <f>18927.11+13243.7+2082.73</f>
        <v>34253.54</v>
      </c>
      <c r="O21" s="8">
        <v>13718</v>
      </c>
      <c r="P21" s="39">
        <v>0</v>
      </c>
      <c r="Q21" s="10">
        <f>30957+23224</f>
        <v>54181</v>
      </c>
      <c r="R21" s="8">
        <v>9883.7999999999993</v>
      </c>
      <c r="S21" s="8">
        <v>0</v>
      </c>
      <c r="T21" s="11">
        <f t="shared" si="0"/>
        <v>163294.79999999999</v>
      </c>
      <c r="U21" s="2"/>
    </row>
    <row r="22" spans="1:21" x14ac:dyDescent="0.25">
      <c r="A22" s="36" t="s">
        <v>9</v>
      </c>
      <c r="B22" s="111">
        <v>128117.23</v>
      </c>
      <c r="C22" s="112"/>
      <c r="D22" s="37">
        <v>121505.34999999999</v>
      </c>
      <c r="E22" s="27"/>
      <c r="F22" s="8">
        <v>7248.1200000000008</v>
      </c>
      <c r="G22" s="8">
        <v>11389.6</v>
      </c>
      <c r="H22" s="9">
        <v>6589.2</v>
      </c>
      <c r="I22" s="8">
        <v>0</v>
      </c>
      <c r="J22" s="8">
        <v>9224.8799999999992</v>
      </c>
      <c r="K22" s="8"/>
      <c r="L22" s="8">
        <v>6593.4</v>
      </c>
      <c r="M22" s="8">
        <v>10213.26</v>
      </c>
      <c r="N22" s="8">
        <f>18422.42+3125.12+2598</f>
        <v>24145.539999999997</v>
      </c>
      <c r="O22" s="8">
        <v>0</v>
      </c>
      <c r="P22" s="10">
        <f>385+2256+233</f>
        <v>2874</v>
      </c>
      <c r="Q22" s="10">
        <v>11652</v>
      </c>
      <c r="R22" s="8">
        <v>9883.7999999999993</v>
      </c>
      <c r="S22" s="8">
        <v>0</v>
      </c>
      <c r="T22" s="11">
        <f t="shared" si="0"/>
        <v>99813.8</v>
      </c>
      <c r="U22" s="2"/>
    </row>
    <row r="23" spans="1:21" x14ac:dyDescent="0.25">
      <c r="A23" s="36" t="s">
        <v>10</v>
      </c>
      <c r="B23" s="111">
        <v>128267.67</v>
      </c>
      <c r="C23" s="112"/>
      <c r="D23" s="37">
        <v>135997.60999999999</v>
      </c>
      <c r="E23" s="27"/>
      <c r="F23" s="8">
        <v>7248.1200000000008</v>
      </c>
      <c r="G23" s="8">
        <v>11389.6</v>
      </c>
      <c r="H23" s="9">
        <v>6589.2</v>
      </c>
      <c r="I23" s="8">
        <v>0</v>
      </c>
      <c r="J23" s="8">
        <v>9224.8799999999992</v>
      </c>
      <c r="K23" s="8"/>
      <c r="L23" s="8">
        <v>8086</v>
      </c>
      <c r="M23" s="8">
        <v>10213.26</v>
      </c>
      <c r="N23" s="8">
        <f>326.42+20417.09+7867.61</f>
        <v>28611.119999999999</v>
      </c>
      <c r="O23" s="8">
        <f>933+1000+500</f>
        <v>2433</v>
      </c>
      <c r="P23" s="10">
        <f>29093+1655</f>
        <v>30748</v>
      </c>
      <c r="Q23" s="10">
        <v>0</v>
      </c>
      <c r="R23" s="8">
        <v>9883.7999999999993</v>
      </c>
      <c r="S23" s="8">
        <v>0</v>
      </c>
      <c r="T23" s="11">
        <f t="shared" si="0"/>
        <v>124426.98000000001</v>
      </c>
      <c r="U23" s="2"/>
    </row>
    <row r="24" spans="1:21" x14ac:dyDescent="0.25">
      <c r="A24" s="36" t="s">
        <v>11</v>
      </c>
      <c r="B24" s="111">
        <v>132771.35999999999</v>
      </c>
      <c r="C24" s="112"/>
      <c r="D24" s="37">
        <v>116014.25000000001</v>
      </c>
      <c r="E24" s="27"/>
      <c r="F24" s="8">
        <v>7248.1200000000008</v>
      </c>
      <c r="G24" s="8">
        <v>11389.6</v>
      </c>
      <c r="H24" s="9">
        <v>6589.2</v>
      </c>
      <c r="I24" s="8">
        <v>0</v>
      </c>
      <c r="J24" s="8">
        <v>9224.8799999999992</v>
      </c>
      <c r="K24" s="8"/>
      <c r="L24" s="8">
        <v>8086</v>
      </c>
      <c r="M24" s="8">
        <v>10213.26</v>
      </c>
      <c r="N24" s="8">
        <f>15108.75+11824.34+5490.44</f>
        <v>32423.53</v>
      </c>
      <c r="O24" s="8">
        <v>1000</v>
      </c>
      <c r="P24" s="10">
        <f>452+348</f>
        <v>800</v>
      </c>
      <c r="Q24" s="10">
        <v>0</v>
      </c>
      <c r="R24" s="8">
        <v>9883.7999999999993</v>
      </c>
      <c r="S24" s="8">
        <v>0</v>
      </c>
      <c r="T24" s="11">
        <f t="shared" si="0"/>
        <v>96858.39</v>
      </c>
      <c r="U24" s="2"/>
    </row>
    <row r="25" spans="1:21" x14ac:dyDescent="0.25">
      <c r="A25" s="36" t="s">
        <v>46</v>
      </c>
      <c r="B25" s="111">
        <v>136538.22</v>
      </c>
      <c r="C25" s="112"/>
      <c r="D25" s="37">
        <v>121641.68</v>
      </c>
      <c r="E25" s="27"/>
      <c r="F25" s="8">
        <v>7248.1200000000008</v>
      </c>
      <c r="G25" s="8">
        <v>11389.6</v>
      </c>
      <c r="H25" s="9">
        <v>6589.2</v>
      </c>
      <c r="I25" s="8">
        <v>0</v>
      </c>
      <c r="J25" s="8">
        <v>9224.8799999999992</v>
      </c>
      <c r="K25" s="8"/>
      <c r="L25" s="8">
        <v>8086</v>
      </c>
      <c r="M25" s="8">
        <v>10213.26</v>
      </c>
      <c r="N25" s="8">
        <f>18457.14+4516.19+19363.05</f>
        <v>42336.38</v>
      </c>
      <c r="O25" s="8">
        <f>1950+16000+4500+2046.54</f>
        <v>24496.54</v>
      </c>
      <c r="P25" s="10">
        <f>1726+1726</f>
        <v>3452</v>
      </c>
      <c r="Q25" s="10">
        <v>28994</v>
      </c>
      <c r="R25" s="8">
        <v>9883.7999999999993</v>
      </c>
      <c r="S25" s="8">
        <v>0</v>
      </c>
      <c r="T25" s="11">
        <f t="shared" si="0"/>
        <v>161913.78</v>
      </c>
    </row>
    <row r="26" spans="1:21" x14ac:dyDescent="0.25">
      <c r="A26" s="36" t="s">
        <v>47</v>
      </c>
      <c r="B26" s="111">
        <v>146423.12</v>
      </c>
      <c r="C26" s="112"/>
      <c r="D26" s="37">
        <v>135859.40000000002</v>
      </c>
      <c r="E26" s="27"/>
      <c r="F26" s="8">
        <v>7248.1200000000008</v>
      </c>
      <c r="G26" s="8">
        <v>11389.6</v>
      </c>
      <c r="H26" s="9">
        <v>6589.2</v>
      </c>
      <c r="I26" s="8">
        <v>1400</v>
      </c>
      <c r="J26" s="8">
        <v>9224.8799999999992</v>
      </c>
      <c r="K26" s="8"/>
      <c r="L26" s="8">
        <v>8086</v>
      </c>
      <c r="M26" s="8">
        <v>10213.26</v>
      </c>
      <c r="N26" s="8">
        <f>12195.9+6848.12+5507.76</f>
        <v>24551.78</v>
      </c>
      <c r="O26" s="8">
        <v>0</v>
      </c>
      <c r="P26" s="10">
        <f>1324+1452+1130</f>
        <v>3906</v>
      </c>
      <c r="Q26" s="10">
        <v>2577</v>
      </c>
      <c r="R26" s="8">
        <v>9883.7999999999993</v>
      </c>
      <c r="S26" s="8">
        <v>0</v>
      </c>
      <c r="T26" s="11">
        <f t="shared" si="0"/>
        <v>95069.64</v>
      </c>
    </row>
    <row r="27" spans="1:21" x14ac:dyDescent="0.25">
      <c r="A27" s="36" t="s">
        <v>48</v>
      </c>
      <c r="B27" s="111">
        <v>125849.19</v>
      </c>
      <c r="C27" s="112"/>
      <c r="D27" s="37">
        <v>117424.25</v>
      </c>
      <c r="E27" s="27"/>
      <c r="F27" s="8">
        <v>7248.1200000000008</v>
      </c>
      <c r="G27" s="8">
        <v>11389.6</v>
      </c>
      <c r="H27" s="9">
        <v>6589.2</v>
      </c>
      <c r="I27" s="8">
        <v>2800</v>
      </c>
      <c r="J27" s="8">
        <v>9224.8799999999992</v>
      </c>
      <c r="K27" s="8"/>
      <c r="L27" s="8">
        <v>8086</v>
      </c>
      <c r="M27" s="8">
        <v>10213.26</v>
      </c>
      <c r="N27" s="8">
        <f>16711.73+13257.53+4193.28</f>
        <v>34162.54</v>
      </c>
      <c r="O27" s="8">
        <v>0</v>
      </c>
      <c r="P27" s="10">
        <f>1655+2111+3161</f>
        <v>6927</v>
      </c>
      <c r="Q27" s="10">
        <v>31066</v>
      </c>
      <c r="R27" s="8">
        <v>9883.7999999999993</v>
      </c>
      <c r="S27" s="8">
        <v>0</v>
      </c>
      <c r="T27" s="11">
        <f t="shared" si="0"/>
        <v>137590.39999999999</v>
      </c>
    </row>
    <row r="28" spans="1:21" x14ac:dyDescent="0.25">
      <c r="A28" s="36" t="s">
        <v>49</v>
      </c>
      <c r="B28" s="111">
        <v>137095.37</v>
      </c>
      <c r="C28" s="112"/>
      <c r="D28" s="37">
        <v>127535.25</v>
      </c>
      <c r="E28" s="27"/>
      <c r="F28" s="8">
        <v>7248.1200000000008</v>
      </c>
      <c r="G28" s="8">
        <v>11389.6</v>
      </c>
      <c r="H28" s="9">
        <v>6589.2</v>
      </c>
      <c r="I28" s="8">
        <v>2800</v>
      </c>
      <c r="J28" s="8">
        <v>9224.8799999999992</v>
      </c>
      <c r="K28" s="8"/>
      <c r="L28" s="8">
        <v>8086</v>
      </c>
      <c r="M28" s="8">
        <v>10213.26</v>
      </c>
      <c r="N28" s="8">
        <f>14400.94+14933.08+3579.52+5585.13</f>
        <v>38498.67</v>
      </c>
      <c r="O28" s="8">
        <f>1800+8125</f>
        <v>9925</v>
      </c>
      <c r="P28" s="10">
        <v>0</v>
      </c>
      <c r="Q28" s="10">
        <v>0</v>
      </c>
      <c r="R28" s="8">
        <v>9883.7999999999993</v>
      </c>
      <c r="S28" s="8">
        <v>0</v>
      </c>
      <c r="T28" s="11">
        <f t="shared" si="0"/>
        <v>113858.53000000001</v>
      </c>
    </row>
    <row r="29" spans="1:21" ht="19.5" customHeight="1" x14ac:dyDescent="0.25">
      <c r="A29" s="60" t="s">
        <v>60</v>
      </c>
      <c r="B29" s="111">
        <v>0</v>
      </c>
      <c r="C29" s="112"/>
      <c r="D29" s="37">
        <v>0</v>
      </c>
      <c r="E29" s="27"/>
      <c r="F29" s="8"/>
      <c r="G29" s="8"/>
      <c r="H29" s="9"/>
      <c r="I29" s="8"/>
      <c r="J29" s="8"/>
      <c r="K29" s="8"/>
      <c r="L29" s="8"/>
      <c r="M29" s="8"/>
      <c r="N29" s="8"/>
      <c r="O29" s="8"/>
      <c r="P29" s="10"/>
      <c r="Q29" s="10"/>
      <c r="R29" s="8"/>
      <c r="S29" s="8"/>
      <c r="T29" s="11"/>
    </row>
    <row r="30" spans="1:21" ht="20.25" customHeight="1" x14ac:dyDescent="0.25">
      <c r="A30" s="60" t="s">
        <v>50</v>
      </c>
      <c r="B30" s="111">
        <v>0</v>
      </c>
      <c r="C30" s="112"/>
      <c r="D30" s="37">
        <f>7200+1800+1800+1800+1800</f>
        <v>14400</v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10"/>
      <c r="R30" s="8"/>
      <c r="S30" s="8"/>
      <c r="T30" s="11"/>
    </row>
    <row r="31" spans="1:21" ht="22.5" customHeight="1" x14ac:dyDescent="0.25">
      <c r="A31" s="60" t="s">
        <v>61</v>
      </c>
      <c r="B31" s="111">
        <v>0</v>
      </c>
      <c r="C31" s="112"/>
      <c r="D31" s="37">
        <f>6600+4400+4400+4400</f>
        <v>19800</v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10"/>
      <c r="Q31" s="10"/>
      <c r="R31" s="8"/>
      <c r="S31" s="8"/>
      <c r="T31" s="11"/>
    </row>
    <row r="32" spans="1:21" ht="21.75" customHeight="1" x14ac:dyDescent="0.25">
      <c r="A32" s="60" t="s">
        <v>6</v>
      </c>
      <c r="B32" s="111">
        <v>0</v>
      </c>
      <c r="C32" s="112"/>
      <c r="D32" s="37">
        <f>3750+2500+2500+2500</f>
        <v>11250</v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10"/>
      <c r="Q32" s="10"/>
      <c r="R32" s="8"/>
      <c r="S32" s="8"/>
      <c r="T32" s="11"/>
    </row>
    <row r="33" spans="1:20" x14ac:dyDescent="0.25">
      <c r="A33" s="16" t="s">
        <v>1</v>
      </c>
      <c r="B33" s="129">
        <f>SUM(B17:B32)</f>
        <v>1539099.46</v>
      </c>
      <c r="C33" s="130"/>
      <c r="D33" s="17">
        <f>SUM(D17:D32)</f>
        <v>1499443.19</v>
      </c>
      <c r="E33" s="17"/>
      <c r="F33" s="17">
        <f>SUM(F17:F32)</f>
        <v>86977.44</v>
      </c>
      <c r="G33" s="17">
        <f>SUM(G17:G32)</f>
        <v>136675.20000000004</v>
      </c>
      <c r="H33" s="17">
        <f>SUM(H17:H32)</f>
        <v>79070.39999999998</v>
      </c>
      <c r="I33" s="17">
        <f>SUM(I17:I32)</f>
        <v>16800</v>
      </c>
      <c r="J33" s="17">
        <f>SUM(J17:J32)</f>
        <v>110698.56000000001</v>
      </c>
      <c r="K33" s="17"/>
      <c r="L33" s="17">
        <f t="shared" ref="L33:T33" si="1">SUM(L17:L32)</f>
        <v>88076.4</v>
      </c>
      <c r="M33" s="17">
        <f t="shared" si="1"/>
        <v>122559.11999999998</v>
      </c>
      <c r="N33" s="17">
        <f t="shared" si="1"/>
        <v>354212.02</v>
      </c>
      <c r="O33" s="17">
        <f t="shared" si="1"/>
        <v>51572.54</v>
      </c>
      <c r="P33" s="17">
        <f t="shared" si="1"/>
        <v>48707</v>
      </c>
      <c r="Q33" s="17">
        <f t="shared" si="1"/>
        <v>147761</v>
      </c>
      <c r="R33" s="17">
        <f t="shared" si="1"/>
        <v>118605.60000000002</v>
      </c>
      <c r="S33" s="17">
        <f t="shared" si="1"/>
        <v>0</v>
      </c>
      <c r="T33" s="18">
        <f t="shared" si="1"/>
        <v>1361715.28</v>
      </c>
    </row>
    <row r="34" spans="1:20" x14ac:dyDescent="0.25">
      <c r="A34" s="38"/>
      <c r="B34" s="128"/>
      <c r="C34" s="12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 t="s">
        <v>51</v>
      </c>
      <c r="R34" s="127">
        <f>E15+D33-T33</f>
        <v>87517.75</v>
      </c>
      <c r="S34" s="127"/>
      <c r="T34" s="127"/>
    </row>
    <row r="35" spans="1:20" x14ac:dyDescent="0.25">
      <c r="A35" s="38"/>
      <c r="B35" s="40" t="s">
        <v>8</v>
      </c>
      <c r="C35" s="134">
        <v>13718</v>
      </c>
      <c r="D35" s="134"/>
      <c r="E35" s="12" t="s">
        <v>52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20"/>
      <c r="S35" s="20"/>
      <c r="T35" s="20"/>
    </row>
    <row r="36" spans="1:20" x14ac:dyDescent="0.25">
      <c r="A36" s="38"/>
      <c r="B36" s="40" t="s">
        <v>10</v>
      </c>
      <c r="C36" s="134">
        <v>933</v>
      </c>
      <c r="D36" s="134"/>
      <c r="E36" s="12" t="s">
        <v>66</v>
      </c>
      <c r="F36" s="12"/>
      <c r="G36" s="12"/>
      <c r="H36" s="12"/>
      <c r="I36" s="12"/>
      <c r="L36" s="52" t="s">
        <v>16</v>
      </c>
      <c r="M36" s="52">
        <v>6137.24</v>
      </c>
      <c r="N36" s="52" t="s">
        <v>64</v>
      </c>
      <c r="O36" s="52">
        <v>7192.13</v>
      </c>
      <c r="P36" s="52" t="s">
        <v>65</v>
      </c>
      <c r="Q36" s="52">
        <v>15315.19</v>
      </c>
      <c r="R36" s="55" t="s">
        <v>18</v>
      </c>
      <c r="S36" s="53"/>
      <c r="T36" s="20"/>
    </row>
    <row r="37" spans="1:20" x14ac:dyDescent="0.25">
      <c r="C37" s="133">
        <v>1000</v>
      </c>
      <c r="D37" s="133"/>
      <c r="E37" s="12" t="s">
        <v>67</v>
      </c>
      <c r="L37" s="52" t="s">
        <v>3</v>
      </c>
      <c r="M37" s="52">
        <v>8222.8799999999992</v>
      </c>
      <c r="N37" s="52" t="s">
        <v>64</v>
      </c>
      <c r="O37" s="52">
        <v>5053.1099999999997</v>
      </c>
      <c r="P37" s="52" t="s">
        <v>65</v>
      </c>
      <c r="Q37" s="52">
        <v>5408.28</v>
      </c>
      <c r="R37" s="52" t="s">
        <v>18</v>
      </c>
      <c r="S37" s="41"/>
      <c r="T37" s="41"/>
    </row>
    <row r="38" spans="1:20" x14ac:dyDescent="0.25">
      <c r="C38" s="133">
        <v>500</v>
      </c>
      <c r="D38" s="133"/>
      <c r="E38" s="12" t="s">
        <v>68</v>
      </c>
      <c r="L38" s="52" t="s">
        <v>5</v>
      </c>
      <c r="M38" s="52">
        <v>4376.3500000000004</v>
      </c>
      <c r="N38" s="52" t="s">
        <v>64</v>
      </c>
      <c r="O38" s="52">
        <v>3524.62</v>
      </c>
      <c r="P38" s="52" t="s">
        <v>65</v>
      </c>
      <c r="Q38" s="52"/>
      <c r="R38" s="52"/>
      <c r="S38" s="41"/>
      <c r="T38" s="41"/>
    </row>
    <row r="39" spans="1:20" x14ac:dyDescent="0.25">
      <c r="B39" s="70" t="s">
        <v>11</v>
      </c>
      <c r="C39" s="133">
        <v>1000</v>
      </c>
      <c r="D39" s="133"/>
      <c r="E39" s="12" t="s">
        <v>69</v>
      </c>
      <c r="L39" s="52" t="s">
        <v>7</v>
      </c>
      <c r="M39" s="52">
        <v>8681.34</v>
      </c>
      <c r="N39" s="52" t="s">
        <v>64</v>
      </c>
      <c r="O39" s="52">
        <v>10322.719999999999</v>
      </c>
      <c r="P39" s="52" t="s">
        <v>65</v>
      </c>
      <c r="Q39" s="52">
        <v>20995.06</v>
      </c>
      <c r="R39" s="52" t="s">
        <v>18</v>
      </c>
      <c r="S39" s="54"/>
      <c r="T39" s="54"/>
    </row>
    <row r="40" spans="1:20" x14ac:dyDescent="0.25">
      <c r="B40" s="70" t="s">
        <v>12</v>
      </c>
      <c r="C40" s="133">
        <v>1950</v>
      </c>
      <c r="D40" s="133"/>
      <c r="E40" s="12" t="s">
        <v>70</v>
      </c>
      <c r="L40" s="52" t="s">
        <v>8</v>
      </c>
      <c r="M40" s="52">
        <v>18927.11</v>
      </c>
      <c r="N40" s="52" t="s">
        <v>64</v>
      </c>
      <c r="O40" s="52">
        <v>2082.73</v>
      </c>
      <c r="P40" s="52" t="s">
        <v>65</v>
      </c>
      <c r="Q40" s="52">
        <v>13243.7</v>
      </c>
      <c r="R40" s="52" t="s">
        <v>18</v>
      </c>
      <c r="S40" s="56"/>
      <c r="T40" s="56"/>
    </row>
    <row r="41" spans="1:20" x14ac:dyDescent="0.25">
      <c r="B41" s="70"/>
      <c r="C41" s="133">
        <v>16000</v>
      </c>
      <c r="D41" s="133"/>
      <c r="E41" s="12" t="s">
        <v>71</v>
      </c>
      <c r="F41" s="12"/>
      <c r="G41" s="12"/>
      <c r="L41" s="52" t="s">
        <v>9</v>
      </c>
      <c r="M41" s="52">
        <v>18422.419999999998</v>
      </c>
      <c r="N41" s="52" t="s">
        <v>64</v>
      </c>
      <c r="O41" s="52">
        <v>2598</v>
      </c>
      <c r="P41" s="52" t="s">
        <v>65</v>
      </c>
      <c r="Q41" s="52">
        <v>3125.12</v>
      </c>
      <c r="R41" s="52" t="s">
        <v>18</v>
      </c>
      <c r="S41" s="56"/>
      <c r="T41" s="56"/>
    </row>
    <row r="42" spans="1:20" x14ac:dyDescent="0.25">
      <c r="B42" s="70"/>
      <c r="C42" s="133">
        <v>4500</v>
      </c>
      <c r="D42" s="133"/>
      <c r="E42" s="12" t="s">
        <v>72</v>
      </c>
      <c r="F42" s="12"/>
      <c r="G42" s="12"/>
      <c r="L42" s="52" t="s">
        <v>10</v>
      </c>
      <c r="M42" s="52">
        <v>20417.09</v>
      </c>
      <c r="N42" s="52" t="s">
        <v>64</v>
      </c>
      <c r="O42" s="52">
        <v>7867.61</v>
      </c>
      <c r="P42" s="52" t="s">
        <v>65</v>
      </c>
      <c r="Q42" s="52">
        <v>326.42</v>
      </c>
      <c r="R42" s="52" t="s">
        <v>18</v>
      </c>
      <c r="S42" s="57"/>
      <c r="T42" s="57"/>
    </row>
    <row r="43" spans="1:20" x14ac:dyDescent="0.25">
      <c r="B43" s="70"/>
      <c r="C43" s="133">
        <v>2046.54</v>
      </c>
      <c r="D43" s="133"/>
      <c r="E43" s="12" t="s">
        <v>53</v>
      </c>
      <c r="F43" s="12"/>
      <c r="G43" s="12"/>
      <c r="L43" s="52" t="s">
        <v>11</v>
      </c>
      <c r="M43" s="52">
        <v>15108.75</v>
      </c>
      <c r="N43" s="52" t="s">
        <v>64</v>
      </c>
      <c r="O43" s="52">
        <v>5490.44</v>
      </c>
      <c r="P43" s="52" t="s">
        <v>65</v>
      </c>
      <c r="Q43" s="52">
        <v>11824.34</v>
      </c>
      <c r="R43" s="52" t="s">
        <v>18</v>
      </c>
      <c r="S43" s="58"/>
      <c r="T43" s="58"/>
    </row>
    <row r="44" spans="1:20" x14ac:dyDescent="0.25">
      <c r="B44" s="70" t="s">
        <v>15</v>
      </c>
      <c r="C44" s="133">
        <v>1800</v>
      </c>
      <c r="D44" s="133"/>
      <c r="E44" s="71" t="s">
        <v>74</v>
      </c>
      <c r="F44" s="71"/>
      <c r="G44" s="69"/>
      <c r="L44" s="52" t="s">
        <v>12</v>
      </c>
      <c r="M44" s="52">
        <v>18457.14</v>
      </c>
      <c r="N44" s="52" t="s">
        <v>64</v>
      </c>
      <c r="O44" s="52">
        <v>4516.1899999999996</v>
      </c>
      <c r="P44" s="52" t="s">
        <v>65</v>
      </c>
      <c r="Q44" s="52">
        <v>19363.05</v>
      </c>
      <c r="R44" s="52" t="s">
        <v>18</v>
      </c>
      <c r="S44" s="59"/>
      <c r="T44" s="59"/>
    </row>
    <row r="45" spans="1:20" x14ac:dyDescent="0.25">
      <c r="B45" s="70"/>
      <c r="C45" s="133">
        <v>8125</v>
      </c>
      <c r="D45" s="133"/>
      <c r="E45" s="133" t="s">
        <v>70</v>
      </c>
      <c r="F45" s="133"/>
      <c r="G45" s="69"/>
      <c r="L45" s="52" t="s">
        <v>13</v>
      </c>
      <c r="M45" s="52">
        <v>12195.9</v>
      </c>
      <c r="N45" s="52" t="s">
        <v>64</v>
      </c>
      <c r="O45" s="52">
        <v>5507.76</v>
      </c>
      <c r="P45" s="52" t="s">
        <v>65</v>
      </c>
      <c r="Q45" s="52">
        <v>6848.12</v>
      </c>
      <c r="R45" s="52" t="s">
        <v>18</v>
      </c>
      <c r="S45" s="61"/>
      <c r="T45" s="61"/>
    </row>
    <row r="46" spans="1:20" x14ac:dyDescent="0.25">
      <c r="C46" s="135"/>
      <c r="D46" s="135"/>
      <c r="L46" s="52" t="s">
        <v>14</v>
      </c>
      <c r="M46" s="52">
        <v>13257.53</v>
      </c>
      <c r="N46" s="52" t="s">
        <v>64</v>
      </c>
      <c r="O46" s="52">
        <v>4193.28</v>
      </c>
      <c r="P46" s="52" t="s">
        <v>65</v>
      </c>
      <c r="Q46" s="52">
        <v>16711.73</v>
      </c>
      <c r="R46" s="52" t="s">
        <v>18</v>
      </c>
      <c r="S46" s="62"/>
      <c r="T46" s="62"/>
    </row>
    <row r="47" spans="1:20" x14ac:dyDescent="0.25">
      <c r="C47" s="64"/>
      <c r="D47" s="65"/>
      <c r="L47" s="52" t="s">
        <v>15</v>
      </c>
      <c r="M47" s="52">
        <v>14400.94</v>
      </c>
      <c r="N47" s="52" t="s">
        <v>64</v>
      </c>
      <c r="O47" s="52">
        <v>3579.52</v>
      </c>
      <c r="P47" s="52" t="s">
        <v>65</v>
      </c>
      <c r="Q47" s="52">
        <v>14933.08</v>
      </c>
      <c r="R47" s="52" t="s">
        <v>18</v>
      </c>
      <c r="S47" s="63"/>
      <c r="T47" s="63"/>
    </row>
    <row r="48" spans="1:20" x14ac:dyDescent="0.25">
      <c r="C48" s="67"/>
      <c r="D48" s="68"/>
      <c r="L48" s="52"/>
      <c r="M48" s="52"/>
      <c r="N48" s="52"/>
      <c r="O48" s="52">
        <f>4733.16*1.18</f>
        <v>5585.1287999999995</v>
      </c>
      <c r="P48" s="52" t="s">
        <v>73</v>
      </c>
      <c r="Q48" s="52"/>
      <c r="R48" s="52"/>
      <c r="S48" s="66"/>
      <c r="T48" s="66"/>
    </row>
    <row r="49" spans="3:20" x14ac:dyDescent="0.25">
      <c r="C49" s="28"/>
      <c r="D49" s="29"/>
      <c r="R49" s="41"/>
      <c r="S49" s="41"/>
      <c r="T49" s="41"/>
    </row>
  </sheetData>
  <mergeCells count="67">
    <mergeCell ref="P12:Q12"/>
    <mergeCell ref="H5:H6"/>
    <mergeCell ref="I5:I6"/>
    <mergeCell ref="J5:J6"/>
    <mergeCell ref="B9:D9"/>
    <mergeCell ref="A12:D12"/>
    <mergeCell ref="F12:O12"/>
    <mergeCell ref="B5:B6"/>
    <mergeCell ref="C5:C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G5:G6"/>
    <mergeCell ref="K5:K6"/>
    <mergeCell ref="L5:L6"/>
    <mergeCell ref="M5:M6"/>
    <mergeCell ref="N5:O5"/>
    <mergeCell ref="B8:D8"/>
    <mergeCell ref="C44:D44"/>
    <mergeCell ref="C39:D39"/>
    <mergeCell ref="B24:C24"/>
    <mergeCell ref="C37:D37"/>
    <mergeCell ref="C38:D38"/>
    <mergeCell ref="B17:C17"/>
    <mergeCell ref="B18:C18"/>
    <mergeCell ref="B19:C19"/>
    <mergeCell ref="B20:C20"/>
    <mergeCell ref="B21:C21"/>
    <mergeCell ref="B22:C22"/>
    <mergeCell ref="D5:D6"/>
    <mergeCell ref="E5:E6"/>
    <mergeCell ref="F5:F6"/>
    <mergeCell ref="R34:T34"/>
    <mergeCell ref="B34:C34"/>
    <mergeCell ref="C46:D46"/>
    <mergeCell ref="B10:D10"/>
    <mergeCell ref="C45:D45"/>
    <mergeCell ref="E45:F45"/>
    <mergeCell ref="B11:D11"/>
    <mergeCell ref="C40:D40"/>
    <mergeCell ref="C41:D41"/>
    <mergeCell ref="C42:D42"/>
    <mergeCell ref="C43:D43"/>
    <mergeCell ref="C36:D36"/>
    <mergeCell ref="C35:D3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3:C23"/>
    <mergeCell ref="A13:E13"/>
    <mergeCell ref="A14:E14"/>
    <mergeCell ref="F14:T14"/>
    <mergeCell ref="A15:D15"/>
    <mergeCell ref="B16:C16"/>
  </mergeCells>
  <pageMargins left="0.10416666666666667" right="1.0416666666666666E-2" top="5.2083333333333336E-2" bottom="1.0416666666666666E-2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2019-02-11T07:06:21Z</dcterms:modified>
</cp:coreProperties>
</file>